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lvak\Downloads\"/>
    </mc:Choice>
  </mc:AlternateContent>
  <bookViews>
    <workbookView xWindow="0" yWindow="0" windowWidth="24180" windowHeight="3195"/>
  </bookViews>
  <sheets>
    <sheet name="MODELIS" sheetId="1" r:id="rId1"/>
    <sheet name="Paskaidrojumi" sheetId="4" r:id="rId2"/>
  </sheets>
  <externalReferences>
    <externalReference r:id="rId3"/>
  </externalReferences>
  <calcPr calcId="162913" calcMode="autoNoTable"/>
</workbook>
</file>

<file path=xl/calcChain.xml><?xml version="1.0" encoding="utf-8"?>
<calcChain xmlns="http://schemas.openxmlformats.org/spreadsheetml/2006/main">
  <c r="J9" i="1" l="1"/>
  <c r="F9" i="1"/>
  <c r="C9" i="1"/>
  <c r="B9" i="1" l="1"/>
  <c r="M13" i="1" s="1"/>
  <c r="C78" i="1" l="1"/>
  <c r="D78" i="1" s="1"/>
  <c r="C77" i="1"/>
  <c r="D77" i="1" s="1"/>
  <c r="C76" i="1"/>
  <c r="D76" i="1" s="1"/>
  <c r="C75" i="1"/>
  <c r="D75" i="1" s="1"/>
  <c r="C74" i="1"/>
  <c r="D74" i="1" s="1"/>
  <c r="C73" i="1"/>
  <c r="D73" i="1" s="1"/>
  <c r="C72" i="1"/>
  <c r="D72" i="1" s="1"/>
  <c r="C71" i="1"/>
  <c r="D71" i="1" s="1"/>
  <c r="C70" i="1"/>
  <c r="D70" i="1" s="1"/>
  <c r="C69" i="1"/>
  <c r="D69" i="1" s="1"/>
  <c r="C68" i="1"/>
  <c r="D68" i="1" s="1"/>
  <c r="C67" i="1"/>
  <c r="D67" i="1" s="1"/>
  <c r="C66" i="1"/>
  <c r="D66" i="1" s="1"/>
  <c r="C65" i="1"/>
  <c r="D65" i="1" s="1"/>
  <c r="C64" i="1"/>
  <c r="D64" i="1" s="1"/>
  <c r="C63" i="1"/>
  <c r="D63" i="1" s="1"/>
  <c r="C62" i="1"/>
  <c r="D62" i="1" s="1"/>
  <c r="C61" i="1"/>
  <c r="D61" i="1" s="1"/>
  <c r="C60" i="1"/>
  <c r="D60" i="1" s="1"/>
  <c r="C59" i="1"/>
  <c r="D59" i="1" s="1"/>
  <c r="C58" i="1"/>
  <c r="D58" i="1" s="1"/>
  <c r="C57" i="1"/>
  <c r="D57" i="1" s="1"/>
  <c r="C56" i="1"/>
  <c r="D56" i="1" s="1"/>
  <c r="C55" i="1"/>
  <c r="D55" i="1" s="1"/>
  <c r="C54" i="1"/>
  <c r="D54" i="1" s="1"/>
  <c r="C53" i="1"/>
  <c r="D53" i="1" s="1"/>
  <c r="C52" i="1"/>
  <c r="D52" i="1" s="1"/>
  <c r="C51" i="1"/>
  <c r="D51" i="1" s="1"/>
  <c r="C50" i="1"/>
  <c r="D50" i="1" s="1"/>
  <c r="C49" i="1"/>
  <c r="D49" i="1" s="1"/>
  <c r="C48" i="1"/>
  <c r="D48" i="1" s="1"/>
  <c r="C47" i="1"/>
  <c r="D47" i="1" s="1"/>
  <c r="E45" i="1"/>
  <c r="E44" i="1" s="1"/>
  <c r="E77" i="1" s="1"/>
  <c r="F19" i="1"/>
  <c r="F18" i="1" s="1"/>
  <c r="C19" i="1"/>
  <c r="B19" i="1"/>
  <c r="F13" i="1"/>
  <c r="C8" i="1"/>
  <c r="H7" i="1" l="1"/>
  <c r="L7" i="1"/>
  <c r="B18" i="1"/>
  <c r="F45" i="1" s="1"/>
  <c r="B13" i="1"/>
  <c r="C13" i="1" s="1"/>
  <c r="C14" i="1" s="1"/>
  <c r="H13" i="1" s="1"/>
  <c r="E56" i="1"/>
  <c r="H56" i="1" s="1"/>
  <c r="E74" i="1"/>
  <c r="L74" i="1" s="1"/>
  <c r="E72" i="1"/>
  <c r="J72" i="1" s="1"/>
  <c r="L77" i="1"/>
  <c r="V77" i="1"/>
  <c r="J77" i="1"/>
  <c r="H77" i="1"/>
  <c r="E48" i="1"/>
  <c r="E73" i="1"/>
  <c r="E69" i="1"/>
  <c r="E65" i="1"/>
  <c r="E61" i="1"/>
  <c r="E57" i="1"/>
  <c r="E53" i="1"/>
  <c r="E49" i="1"/>
  <c r="E71" i="1"/>
  <c r="E63" i="1"/>
  <c r="E55" i="1"/>
  <c r="E47" i="1"/>
  <c r="E64" i="1"/>
  <c r="E51" i="1"/>
  <c r="E59" i="1"/>
  <c r="E67" i="1"/>
  <c r="E75" i="1"/>
  <c r="E54" i="1"/>
  <c r="E62" i="1"/>
  <c r="E70" i="1"/>
  <c r="E78" i="1"/>
  <c r="E52" i="1"/>
  <c r="E60" i="1"/>
  <c r="E68" i="1"/>
  <c r="E76" i="1"/>
  <c r="E50" i="1"/>
  <c r="E58" i="1"/>
  <c r="E66" i="1"/>
  <c r="F44" i="1" l="1"/>
  <c r="M60" i="1" s="1"/>
  <c r="C18" i="1"/>
  <c r="J56" i="1"/>
  <c r="L56" i="1"/>
  <c r="V56" i="1"/>
  <c r="J74" i="1"/>
  <c r="V74" i="1"/>
  <c r="L72" i="1"/>
  <c r="V72" i="1"/>
  <c r="H72" i="1"/>
  <c r="H74" i="1"/>
  <c r="L70" i="1"/>
  <c r="V70" i="1"/>
  <c r="J70" i="1"/>
  <c r="H70" i="1"/>
  <c r="L63" i="1"/>
  <c r="J63" i="1"/>
  <c r="V63" i="1"/>
  <c r="H63" i="1"/>
  <c r="L62" i="1"/>
  <c r="V62" i="1"/>
  <c r="J62" i="1"/>
  <c r="H62" i="1"/>
  <c r="J75" i="1"/>
  <c r="H75" i="1"/>
  <c r="L75" i="1"/>
  <c r="V75" i="1"/>
  <c r="L53" i="1"/>
  <c r="J53" i="1"/>
  <c r="H53" i="1"/>
  <c r="V53" i="1"/>
  <c r="V60" i="1"/>
  <c r="J60" i="1"/>
  <c r="L60" i="1"/>
  <c r="H60" i="1"/>
  <c r="J59" i="1"/>
  <c r="H59" i="1"/>
  <c r="L59" i="1"/>
  <c r="V59" i="1"/>
  <c r="L61" i="1"/>
  <c r="J61" i="1"/>
  <c r="H61" i="1"/>
  <c r="V61" i="1"/>
  <c r="L55" i="1"/>
  <c r="J55" i="1"/>
  <c r="V55" i="1"/>
  <c r="H55" i="1"/>
  <c r="V66" i="1"/>
  <c r="H66" i="1"/>
  <c r="J66" i="1"/>
  <c r="L66" i="1"/>
  <c r="V52" i="1"/>
  <c r="J52" i="1"/>
  <c r="L52" i="1"/>
  <c r="H52" i="1"/>
  <c r="J51" i="1"/>
  <c r="H51" i="1"/>
  <c r="L51" i="1"/>
  <c r="V51" i="1"/>
  <c r="L47" i="1"/>
  <c r="J47" i="1"/>
  <c r="V47" i="1"/>
  <c r="E79" i="1"/>
  <c r="H47" i="1"/>
  <c r="H65" i="1"/>
  <c r="L65" i="1"/>
  <c r="V65" i="1"/>
  <c r="J65" i="1"/>
  <c r="L69" i="1"/>
  <c r="J69" i="1"/>
  <c r="H69" i="1"/>
  <c r="V69" i="1"/>
  <c r="H73" i="1"/>
  <c r="L73" i="1"/>
  <c r="V73" i="1"/>
  <c r="J73" i="1"/>
  <c r="V58" i="1"/>
  <c r="H58" i="1"/>
  <c r="L58" i="1"/>
  <c r="J58" i="1"/>
  <c r="V64" i="1"/>
  <c r="L64" i="1"/>
  <c r="J64" i="1"/>
  <c r="H64" i="1"/>
  <c r="L71" i="1"/>
  <c r="J71" i="1"/>
  <c r="V71" i="1"/>
  <c r="H71" i="1"/>
  <c r="V50" i="1"/>
  <c r="H50" i="1"/>
  <c r="L50" i="1"/>
  <c r="J50" i="1"/>
  <c r="L54" i="1"/>
  <c r="V54" i="1"/>
  <c r="J54" i="1"/>
  <c r="H54" i="1"/>
  <c r="H49" i="1"/>
  <c r="L49" i="1"/>
  <c r="V49" i="1"/>
  <c r="J49" i="1"/>
  <c r="H78" i="1"/>
  <c r="L78" i="1"/>
  <c r="J78" i="1"/>
  <c r="V78" i="1"/>
  <c r="V48" i="1"/>
  <c r="J48" i="1"/>
  <c r="L48" i="1"/>
  <c r="H48" i="1"/>
  <c r="V76" i="1"/>
  <c r="J76" i="1"/>
  <c r="L76" i="1"/>
  <c r="H76" i="1"/>
  <c r="V68" i="1"/>
  <c r="J68" i="1"/>
  <c r="L68" i="1"/>
  <c r="H68" i="1"/>
  <c r="J67" i="1"/>
  <c r="H67" i="1"/>
  <c r="L67" i="1"/>
  <c r="V67" i="1"/>
  <c r="H57" i="1"/>
  <c r="L57" i="1"/>
  <c r="V57" i="1"/>
  <c r="J57" i="1"/>
  <c r="M55" i="1" l="1"/>
  <c r="N55" i="1" s="1"/>
  <c r="O55" i="1" s="1"/>
  <c r="M50" i="1"/>
  <c r="N50" i="1" s="1"/>
  <c r="O50" i="1" s="1"/>
  <c r="M54" i="1"/>
  <c r="N54" i="1" s="1"/>
  <c r="O54" i="1" s="1"/>
  <c r="M68" i="1"/>
  <c r="M73" i="1"/>
  <c r="N73" i="1" s="1"/>
  <c r="O73" i="1" s="1"/>
  <c r="M67" i="1"/>
  <c r="N67" i="1" s="1"/>
  <c r="O67" i="1" s="1"/>
  <c r="M56" i="1"/>
  <c r="N56" i="1" s="1"/>
  <c r="O56" i="1" s="1"/>
  <c r="M64" i="1"/>
  <c r="N64" i="1" s="1"/>
  <c r="O64" i="1" s="1"/>
  <c r="M75" i="1"/>
  <c r="N75" i="1" s="1"/>
  <c r="O75" i="1" s="1"/>
  <c r="M72" i="1"/>
  <c r="N72" i="1" s="1"/>
  <c r="O72" i="1" s="1"/>
  <c r="M66" i="1"/>
  <c r="N66" i="1" s="1"/>
  <c r="O66" i="1" s="1"/>
  <c r="M57" i="1"/>
  <c r="N57" i="1" s="1"/>
  <c r="O57" i="1" s="1"/>
  <c r="M77" i="1"/>
  <c r="N77" i="1" s="1"/>
  <c r="O77" i="1" s="1"/>
  <c r="M58" i="1"/>
  <c r="N58" i="1" s="1"/>
  <c r="O58" i="1" s="1"/>
  <c r="M49" i="1"/>
  <c r="N49" i="1" s="1"/>
  <c r="O49" i="1" s="1"/>
  <c r="M76" i="1"/>
  <c r="N76" i="1" s="1"/>
  <c r="O76" i="1" s="1"/>
  <c r="M47" i="1"/>
  <c r="N47" i="1" s="1"/>
  <c r="M61" i="1"/>
  <c r="N61" i="1" s="1"/>
  <c r="O61" i="1" s="1"/>
  <c r="M62" i="1"/>
  <c r="N62" i="1" s="1"/>
  <c r="O62" i="1" s="1"/>
  <c r="M74" i="1"/>
  <c r="N74" i="1" s="1"/>
  <c r="O74" i="1" s="1"/>
  <c r="M48" i="1"/>
  <c r="N48" i="1" s="1"/>
  <c r="O48" i="1" s="1"/>
  <c r="M65" i="1"/>
  <c r="N65" i="1" s="1"/>
  <c r="O65" i="1" s="1"/>
  <c r="M70" i="1"/>
  <c r="N70" i="1" s="1"/>
  <c r="O70" i="1" s="1"/>
  <c r="M63" i="1"/>
  <c r="N63" i="1" s="1"/>
  <c r="O63" i="1" s="1"/>
  <c r="M69" i="1"/>
  <c r="N69" i="1" s="1"/>
  <c r="O69" i="1" s="1"/>
  <c r="M78" i="1"/>
  <c r="N78" i="1" s="1"/>
  <c r="O78" i="1" s="1"/>
  <c r="M51" i="1"/>
  <c r="N51" i="1" s="1"/>
  <c r="O51" i="1" s="1"/>
  <c r="M52" i="1"/>
  <c r="N52" i="1" s="1"/>
  <c r="O52" i="1" s="1"/>
  <c r="M71" i="1"/>
  <c r="N71" i="1" s="1"/>
  <c r="O71" i="1" s="1"/>
  <c r="M53" i="1"/>
  <c r="N53" i="1" s="1"/>
  <c r="O53" i="1" s="1"/>
  <c r="M59" i="1"/>
  <c r="N60" i="1"/>
  <c r="O60" i="1" s="1"/>
  <c r="V79" i="1"/>
  <c r="J79" i="1"/>
  <c r="E7" i="1" s="1"/>
  <c r="H79" i="1"/>
  <c r="D7" i="1" s="1"/>
  <c r="G7" i="1" s="1"/>
  <c r="G9" i="1" s="1"/>
  <c r="N68" i="1"/>
  <c r="O68" i="1" s="1"/>
  <c r="L79" i="1"/>
  <c r="M79" i="1" l="1"/>
  <c r="N59" i="1"/>
  <c r="O59" i="1" s="1"/>
  <c r="O47" i="1"/>
  <c r="D19" i="1"/>
  <c r="E19" i="1"/>
  <c r="J13" i="1" s="1"/>
  <c r="N79" i="1" l="1"/>
  <c r="Q47" i="1" s="1"/>
  <c r="P47" i="1" s="1"/>
  <c r="R47" i="1" s="1"/>
  <c r="G8" i="1"/>
  <c r="Q48" i="1" l="1"/>
  <c r="F47" i="1"/>
  <c r="P48" i="1" l="1"/>
  <c r="R48" i="1" s="1"/>
  <c r="F48" i="1" s="1"/>
  <c r="I47" i="1"/>
  <c r="K47" i="1"/>
  <c r="G47" i="1"/>
  <c r="W47" i="1"/>
  <c r="K48" i="1" l="1"/>
  <c r="G48" i="1"/>
  <c r="I48" i="1"/>
  <c r="W48" i="1"/>
  <c r="X48" i="1" s="1"/>
  <c r="Q49" i="1"/>
  <c r="X47" i="1"/>
  <c r="P49" i="1" l="1"/>
  <c r="R49" i="1" s="1"/>
  <c r="F49" i="1" s="1"/>
  <c r="Q50" i="1" l="1"/>
  <c r="P50" i="1" s="1"/>
  <c r="R50" i="1" s="1"/>
  <c r="F50" i="1" s="1"/>
  <c r="G49" i="1"/>
  <c r="I49" i="1"/>
  <c r="K49" i="1"/>
  <c r="W49" i="1"/>
  <c r="X49" i="1" s="1"/>
  <c r="Q51" i="1" l="1"/>
  <c r="P51" i="1" s="1"/>
  <c r="R51" i="1" s="1"/>
  <c r="F51" i="1" s="1"/>
  <c r="I51" i="1" s="1"/>
  <c r="K50" i="1"/>
  <c r="I50" i="1"/>
  <c r="W50" i="1"/>
  <c r="X50" i="1" s="1"/>
  <c r="G50" i="1"/>
  <c r="W51" i="1" l="1"/>
  <c r="X51" i="1" s="1"/>
  <c r="G51" i="1"/>
  <c r="Q52" i="1"/>
  <c r="P52" i="1" s="1"/>
  <c r="R52" i="1" s="1"/>
  <c r="F52" i="1" s="1"/>
  <c r="K51" i="1"/>
  <c r="Q53" i="1" l="1"/>
  <c r="P53" i="1" s="1"/>
  <c r="R53" i="1" s="1"/>
  <c r="G52" i="1"/>
  <c r="K52" i="1"/>
  <c r="I52" i="1"/>
  <c r="W52" i="1"/>
  <c r="X52" i="1" l="1"/>
  <c r="F53" i="1"/>
  <c r="Q54" i="1"/>
  <c r="P54" i="1" l="1"/>
  <c r="R54" i="1" s="1"/>
  <c r="K53" i="1"/>
  <c r="G53" i="1"/>
  <c r="W53" i="1"/>
  <c r="I53" i="1"/>
  <c r="Q55" i="1" l="1"/>
  <c r="P55" i="1" s="1"/>
  <c r="R55" i="1" s="1"/>
  <c r="F55" i="1" s="1"/>
  <c r="X53" i="1"/>
  <c r="F54" i="1"/>
  <c r="G55" i="1" l="1"/>
  <c r="I55" i="1"/>
  <c r="K55" i="1"/>
  <c r="W55" i="1"/>
  <c r="X55" i="1" s="1"/>
  <c r="Q56" i="1"/>
  <c r="I54" i="1"/>
  <c r="K54" i="1"/>
  <c r="G54" i="1"/>
  <c r="W54" i="1"/>
  <c r="P56" i="1" l="1"/>
  <c r="R56" i="1" s="1"/>
  <c r="F56" i="1" s="1"/>
  <c r="X54" i="1"/>
  <c r="Q57" i="1" l="1"/>
  <c r="P57" i="1" s="1"/>
  <c r="R57" i="1" s="1"/>
  <c r="F57" i="1" s="1"/>
  <c r="K56" i="1"/>
  <c r="I56" i="1"/>
  <c r="W56" i="1"/>
  <c r="X56" i="1" s="1"/>
  <c r="G56" i="1"/>
  <c r="I57" i="1" l="1"/>
  <c r="G57" i="1"/>
  <c r="W57" i="1"/>
  <c r="X57" i="1" s="1"/>
  <c r="K57" i="1"/>
  <c r="Q58" i="1"/>
  <c r="P58" i="1" l="1"/>
  <c r="R58" i="1" s="1"/>
  <c r="F58" i="1" s="1"/>
  <c r="I58" i="1" l="1"/>
  <c r="K58" i="1"/>
  <c r="W58" i="1"/>
  <c r="X58" i="1" s="1"/>
  <c r="G58" i="1"/>
  <c r="Q59" i="1"/>
  <c r="P59" i="1" l="1"/>
  <c r="R59" i="1" s="1"/>
  <c r="F59" i="1" s="1"/>
  <c r="Q60" i="1" l="1"/>
  <c r="P60" i="1" s="1"/>
  <c r="R60" i="1" s="1"/>
  <c r="F60" i="1" s="1"/>
  <c r="W59" i="1"/>
  <c r="X59" i="1" s="1"/>
  <c r="I59" i="1"/>
  <c r="K59" i="1"/>
  <c r="G59" i="1"/>
  <c r="I60" i="1" l="1"/>
  <c r="K60" i="1"/>
  <c r="G60" i="1"/>
  <c r="W60" i="1"/>
  <c r="X60" i="1" s="1"/>
  <c r="Q61" i="1"/>
  <c r="P61" i="1" l="1"/>
  <c r="R61" i="1" s="1"/>
  <c r="F61" i="1" s="1"/>
  <c r="I61" i="1" l="1"/>
  <c r="K61" i="1"/>
  <c r="G61" i="1"/>
  <c r="W61" i="1"/>
  <c r="X61" i="1" s="1"/>
  <c r="Q62" i="1"/>
  <c r="P62" i="1" l="1"/>
  <c r="R62" i="1" s="1"/>
  <c r="F62" i="1" s="1"/>
  <c r="I62" i="1" l="1"/>
  <c r="K62" i="1"/>
  <c r="G62" i="1"/>
  <c r="W62" i="1"/>
  <c r="X62" i="1" s="1"/>
  <c r="Q63" i="1"/>
  <c r="P63" i="1" l="1"/>
  <c r="R63" i="1" s="1"/>
  <c r="F63" i="1" s="1"/>
  <c r="W63" i="1" l="1"/>
  <c r="X63" i="1" s="1"/>
  <c r="I63" i="1"/>
  <c r="K63" i="1"/>
  <c r="G63" i="1"/>
  <c r="Q64" i="1"/>
  <c r="P64" i="1" l="1"/>
  <c r="R64" i="1" s="1"/>
  <c r="F64" i="1" s="1"/>
  <c r="K64" i="1" l="1"/>
  <c r="I64" i="1"/>
  <c r="W64" i="1"/>
  <c r="X64" i="1" s="1"/>
  <c r="G64" i="1"/>
  <c r="Q65" i="1"/>
  <c r="P65" i="1" l="1"/>
  <c r="R65" i="1" s="1"/>
  <c r="F65" i="1" s="1"/>
  <c r="G65" i="1" l="1"/>
  <c r="W65" i="1"/>
  <c r="X65" i="1" s="1"/>
  <c r="I65" i="1"/>
  <c r="K65" i="1"/>
  <c r="Q66" i="1"/>
  <c r="P66" i="1" l="1"/>
  <c r="R66" i="1" s="1"/>
  <c r="F66" i="1" s="1"/>
  <c r="K66" i="1" l="1"/>
  <c r="I66" i="1"/>
  <c r="G66" i="1"/>
  <c r="W66" i="1"/>
  <c r="X66" i="1" s="1"/>
  <c r="Q67" i="1"/>
  <c r="P67" i="1" l="1"/>
  <c r="R67" i="1" s="1"/>
  <c r="F67" i="1" s="1"/>
  <c r="G67" i="1" l="1"/>
  <c r="W67" i="1"/>
  <c r="X67" i="1" s="1"/>
  <c r="I67" i="1"/>
  <c r="K67" i="1"/>
  <c r="Q68" i="1"/>
  <c r="P68" i="1" l="1"/>
  <c r="R68" i="1" s="1"/>
  <c r="F68" i="1" s="1"/>
  <c r="Q69" i="1" l="1"/>
  <c r="K68" i="1"/>
  <c r="I68" i="1"/>
  <c r="G68" i="1"/>
  <c r="W68" i="1"/>
  <c r="X68" i="1" s="1"/>
  <c r="P69" i="1" l="1"/>
  <c r="R69" i="1" s="1"/>
  <c r="F69" i="1" s="1"/>
  <c r="W69" i="1" l="1"/>
  <c r="X69" i="1" s="1"/>
  <c r="I69" i="1"/>
  <c r="K69" i="1"/>
  <c r="G69" i="1"/>
  <c r="Q70" i="1"/>
  <c r="P70" i="1" l="1"/>
  <c r="R70" i="1" s="1"/>
  <c r="F70" i="1" s="1"/>
  <c r="K70" i="1" l="1"/>
  <c r="G70" i="1"/>
  <c r="W70" i="1"/>
  <c r="X70" i="1" s="1"/>
  <c r="I70" i="1"/>
  <c r="Q71" i="1"/>
  <c r="P71" i="1" l="1"/>
  <c r="R71" i="1" s="1"/>
  <c r="F71" i="1" s="1"/>
  <c r="Q72" i="1" l="1"/>
  <c r="G71" i="1"/>
  <c r="W71" i="1"/>
  <c r="X71" i="1" s="1"/>
  <c r="I71" i="1"/>
  <c r="K71" i="1"/>
  <c r="P72" i="1" l="1"/>
  <c r="R72" i="1" s="1"/>
  <c r="F72" i="1" s="1"/>
  <c r="W72" i="1" l="1"/>
  <c r="X72" i="1" s="1"/>
  <c r="K72" i="1"/>
  <c r="I72" i="1"/>
  <c r="G72" i="1"/>
  <c r="Q73" i="1"/>
  <c r="P73" i="1" l="1"/>
  <c r="R73" i="1" s="1"/>
  <c r="F73" i="1" s="1"/>
  <c r="I73" i="1" l="1"/>
  <c r="K73" i="1"/>
  <c r="G73" i="1"/>
  <c r="W73" i="1"/>
  <c r="X73" i="1" s="1"/>
  <c r="Q74" i="1"/>
  <c r="P74" i="1" l="1"/>
  <c r="R74" i="1" s="1"/>
  <c r="F74" i="1" s="1"/>
  <c r="I74" i="1" l="1"/>
  <c r="G74" i="1"/>
  <c r="W74" i="1"/>
  <c r="X74" i="1" s="1"/>
  <c r="K74" i="1"/>
  <c r="Q75" i="1"/>
  <c r="P75" i="1" l="1"/>
  <c r="R75" i="1" s="1"/>
  <c r="F75" i="1" s="1"/>
  <c r="W75" i="1" l="1"/>
  <c r="X75" i="1" s="1"/>
  <c r="I75" i="1"/>
  <c r="K75" i="1"/>
  <c r="G75" i="1"/>
  <c r="Q76" i="1"/>
  <c r="P76" i="1" l="1"/>
  <c r="R76" i="1" s="1"/>
  <c r="F76" i="1" s="1"/>
  <c r="W76" i="1" l="1"/>
  <c r="X76" i="1" s="1"/>
  <c r="K76" i="1"/>
  <c r="I76" i="1"/>
  <c r="G76" i="1"/>
  <c r="Q77" i="1"/>
  <c r="P77" i="1" l="1"/>
  <c r="R77" i="1" s="1"/>
  <c r="F77" i="1" s="1"/>
  <c r="G77" i="1" l="1"/>
  <c r="W77" i="1"/>
  <c r="X77" i="1" s="1"/>
  <c r="K77" i="1"/>
  <c r="I77" i="1"/>
  <c r="Q78" i="1"/>
  <c r="P78" i="1" s="1"/>
  <c r="R78" i="1" s="1"/>
  <c r="F78" i="1" l="1"/>
  <c r="R79" i="1"/>
  <c r="I78" i="1" l="1"/>
  <c r="I79" i="1" s="1"/>
  <c r="D18" i="1" s="1"/>
  <c r="D13" i="1" s="1"/>
  <c r="G13" i="1" s="1"/>
  <c r="G14" i="1" s="1"/>
  <c r="K9" i="1" s="1"/>
  <c r="K78" i="1"/>
  <c r="K79" i="1" s="1"/>
  <c r="E18" i="1" s="1"/>
  <c r="G78" i="1"/>
  <c r="G79" i="1" s="1"/>
  <c r="W78" i="1"/>
  <c r="F79" i="1"/>
  <c r="X78" i="1" l="1"/>
  <c r="X79" i="1" s="1"/>
  <c r="W79" i="1"/>
  <c r="K13" i="1"/>
  <c r="L13" i="1" s="1"/>
  <c r="E13" i="1"/>
  <c r="L14" i="1" l="1"/>
</calcChain>
</file>

<file path=xl/comments1.xml><?xml version="1.0" encoding="utf-8"?>
<comments xmlns="http://schemas.openxmlformats.org/spreadsheetml/2006/main">
  <authors>
    <author>Kaspars Liepins</author>
  </authors>
  <commentList>
    <comment ref="L13" authorId="0" shapeId="0">
      <text>
        <r>
          <rPr>
            <b/>
            <sz val="9"/>
            <color indexed="81"/>
            <rFont val="Tahoma"/>
            <family val="2"/>
            <charset val="186"/>
          </rPr>
          <t xml:space="preserve">
REZULTĀTA RĀDĪTĀJS</t>
        </r>
        <r>
          <rPr>
            <sz val="9"/>
            <color indexed="81"/>
            <rFont val="Tahoma"/>
            <family val="2"/>
            <charset val="186"/>
          </rPr>
          <t xml:space="preserve">
</t>
        </r>
      </text>
    </comment>
  </commentList>
</comments>
</file>

<file path=xl/sharedStrings.xml><?xml version="1.0" encoding="utf-8"?>
<sst xmlns="http://schemas.openxmlformats.org/spreadsheetml/2006/main" count="135" uniqueCount="98">
  <si>
    <t>Ierobežojumi</t>
  </si>
  <si>
    <t>D</t>
  </si>
  <si>
    <t>H</t>
  </si>
  <si>
    <t>N</t>
  </si>
  <si>
    <t>Nizc</t>
  </si>
  <si>
    <t>Npal&lt;N</t>
  </si>
  <si>
    <t>Min</t>
  </si>
  <si>
    <t>Max</t>
  </si>
  <si>
    <t>Nizc&lt;N</t>
  </si>
  <si>
    <t>Audze pirms cirtes</t>
  </si>
  <si>
    <t>D cm</t>
  </si>
  <si>
    <t>H m</t>
  </si>
  <si>
    <r>
      <t>G m</t>
    </r>
    <r>
      <rPr>
        <b/>
        <vertAlign val="superscript"/>
        <sz val="11"/>
        <color rgb="FFFA7D00"/>
        <rFont val="Calibri"/>
        <family val="2"/>
        <charset val="186"/>
        <scheme val="minor"/>
      </rPr>
      <t>2</t>
    </r>
    <r>
      <rPr>
        <b/>
        <sz val="11"/>
        <color rgb="FFFA7D00"/>
        <rFont val="Calibri"/>
        <family val="2"/>
        <charset val="186"/>
        <scheme val="minor"/>
      </rPr>
      <t>ha</t>
    </r>
    <r>
      <rPr>
        <b/>
        <vertAlign val="superscript"/>
        <sz val="11"/>
        <color rgb="FFFA7D00"/>
        <rFont val="Calibri"/>
        <family val="2"/>
        <charset val="186"/>
        <scheme val="minor"/>
      </rPr>
      <t>-1</t>
    </r>
  </si>
  <si>
    <r>
      <t>M m</t>
    </r>
    <r>
      <rPr>
        <b/>
        <vertAlign val="superscript"/>
        <sz val="11"/>
        <color rgb="FFFA7D00"/>
        <rFont val="Calibri"/>
        <family val="2"/>
        <charset val="186"/>
        <scheme val="minor"/>
      </rPr>
      <t>3</t>
    </r>
    <r>
      <rPr>
        <b/>
        <sz val="11"/>
        <color rgb="FFFA7D00"/>
        <rFont val="Calibri"/>
        <family val="2"/>
        <charset val="186"/>
        <scheme val="minor"/>
      </rPr>
      <t>ha</t>
    </r>
    <r>
      <rPr>
        <b/>
        <vertAlign val="superscript"/>
        <sz val="11"/>
        <color rgb="FFFA7D00"/>
        <rFont val="Calibri"/>
        <family val="2"/>
        <charset val="186"/>
        <scheme val="minor"/>
      </rPr>
      <t>-1</t>
    </r>
  </si>
  <si>
    <t>Biez</t>
  </si>
  <si>
    <r>
      <t>N</t>
    </r>
    <r>
      <rPr>
        <b/>
        <vertAlign val="subscript"/>
        <sz val="11"/>
        <color rgb="FFFA7D00"/>
        <rFont val="Calibri"/>
        <family val="2"/>
        <charset val="186"/>
        <scheme val="minor"/>
      </rPr>
      <t>norm</t>
    </r>
    <r>
      <rPr>
        <b/>
        <sz val="11"/>
        <color rgb="FFFA7D00"/>
        <rFont val="Calibri"/>
        <family val="2"/>
        <charset val="186"/>
        <scheme val="minor"/>
      </rPr>
      <t xml:space="preserve"> ha</t>
    </r>
    <r>
      <rPr>
        <b/>
        <vertAlign val="superscript"/>
        <sz val="11"/>
        <color rgb="FFFA7D00"/>
        <rFont val="Calibri"/>
        <family val="2"/>
        <charset val="186"/>
        <scheme val="minor"/>
      </rPr>
      <t>-1</t>
    </r>
  </si>
  <si>
    <t>Treil. ceļi %</t>
  </si>
  <si>
    <t>Palikusī audze</t>
  </si>
  <si>
    <t>Papīrmalkas sortimenti</t>
  </si>
  <si>
    <r>
      <t>N ha</t>
    </r>
    <r>
      <rPr>
        <b/>
        <vertAlign val="superscript"/>
        <sz val="11"/>
        <color rgb="FFFA7D00"/>
        <rFont val="Calibri"/>
        <family val="2"/>
        <charset val="186"/>
        <scheme val="minor"/>
      </rPr>
      <t>-1</t>
    </r>
  </si>
  <si>
    <r>
      <t>Treil. ceļš m</t>
    </r>
    <r>
      <rPr>
        <b/>
        <vertAlign val="superscript"/>
        <sz val="11"/>
        <color rgb="FF3F3F3F"/>
        <rFont val="Calibri"/>
        <family val="2"/>
        <charset val="186"/>
        <scheme val="minor"/>
      </rPr>
      <t>3</t>
    </r>
    <r>
      <rPr>
        <b/>
        <sz val="11"/>
        <color rgb="FF3F3F3F"/>
        <rFont val="Calibri"/>
        <family val="2"/>
        <charset val="186"/>
        <scheme val="minor"/>
      </rPr>
      <t>ha</t>
    </r>
    <r>
      <rPr>
        <b/>
        <vertAlign val="superscript"/>
        <sz val="11"/>
        <color rgb="FF3F3F3F"/>
        <rFont val="Calibri"/>
        <family val="2"/>
        <charset val="186"/>
        <scheme val="minor"/>
      </rPr>
      <t>-1</t>
    </r>
  </si>
  <si>
    <r>
      <t>Josla m</t>
    </r>
    <r>
      <rPr>
        <b/>
        <vertAlign val="superscript"/>
        <sz val="11"/>
        <color rgb="FF3F3F3F"/>
        <rFont val="Calibri"/>
        <family val="2"/>
        <charset val="186"/>
        <scheme val="minor"/>
      </rPr>
      <t>3</t>
    </r>
    <r>
      <rPr>
        <b/>
        <sz val="11"/>
        <color rgb="FF3F3F3F"/>
        <rFont val="Calibri"/>
        <family val="2"/>
        <charset val="186"/>
        <scheme val="minor"/>
      </rPr>
      <t>ha</t>
    </r>
    <r>
      <rPr>
        <b/>
        <vertAlign val="superscript"/>
        <sz val="11"/>
        <color rgb="FF3F3F3F"/>
        <rFont val="Calibri"/>
        <family val="2"/>
        <charset val="186"/>
        <scheme val="minor"/>
      </rPr>
      <t>-1</t>
    </r>
  </si>
  <si>
    <r>
      <t>Kopā m</t>
    </r>
    <r>
      <rPr>
        <b/>
        <vertAlign val="superscript"/>
        <sz val="11"/>
        <color rgb="FF3F3F3F"/>
        <rFont val="Calibri"/>
        <family val="2"/>
        <charset val="186"/>
        <scheme val="minor"/>
      </rPr>
      <t>3</t>
    </r>
    <r>
      <rPr>
        <b/>
        <sz val="11"/>
        <color rgb="FF3F3F3F"/>
        <rFont val="Calibri"/>
        <family val="2"/>
        <charset val="186"/>
        <scheme val="minor"/>
      </rPr>
      <t>ha</t>
    </r>
    <r>
      <rPr>
        <b/>
        <vertAlign val="superscript"/>
        <sz val="11"/>
        <color rgb="FF3F3F3F"/>
        <rFont val="Calibri"/>
        <family val="2"/>
        <charset val="186"/>
        <scheme val="minor"/>
      </rPr>
      <t>-1</t>
    </r>
  </si>
  <si>
    <t>Izcirstie koki</t>
  </si>
  <si>
    <t>joslā</t>
  </si>
  <si>
    <t>Ievades lauki</t>
  </si>
  <si>
    <t>Koeficienti</t>
  </si>
  <si>
    <t>a</t>
  </si>
  <si>
    <t>b</t>
  </si>
  <si>
    <t>c</t>
  </si>
  <si>
    <t>d</t>
  </si>
  <si>
    <t>Formula</t>
  </si>
  <si>
    <t>Dizc</t>
  </si>
  <si>
    <t>y=a*D^b*N^c*Nizc%^d</t>
  </si>
  <si>
    <t>Dpaliek</t>
  </si>
  <si>
    <t>h=1.3+(Hg-1.3)*exp(a*(1-Dg/Di)+b*(1/Dg-1/Di))</t>
  </si>
  <si>
    <t>PM tr.c. %</t>
  </si>
  <si>
    <t>y=(a*b+c*D^d)/(b+D^d)</t>
  </si>
  <si>
    <t>PM josla %</t>
  </si>
  <si>
    <r>
      <t>N</t>
    </r>
    <r>
      <rPr>
        <vertAlign val="subscript"/>
        <sz val="11"/>
        <color theme="1"/>
        <rFont val="Calibri"/>
        <family val="2"/>
        <charset val="186"/>
        <scheme val="minor"/>
      </rPr>
      <t>norm</t>
    </r>
    <r>
      <rPr>
        <sz val="11"/>
        <color theme="1"/>
        <rFont val="Calibri"/>
        <family val="2"/>
        <charset val="186"/>
        <scheme val="minor"/>
      </rPr>
      <t xml:space="preserve"> ha</t>
    </r>
    <r>
      <rPr>
        <vertAlign val="superscript"/>
        <sz val="11"/>
        <color theme="1"/>
        <rFont val="Calibri"/>
        <family val="2"/>
        <charset val="186"/>
        <scheme val="minor"/>
      </rPr>
      <t>-1</t>
    </r>
  </si>
  <si>
    <t>Weib</t>
  </si>
  <si>
    <t>Parametrs</t>
  </si>
  <si>
    <t>Audze</t>
  </si>
  <si>
    <t>W</t>
  </si>
  <si>
    <t>Izc</t>
  </si>
  <si>
    <t>α</t>
  </si>
  <si>
    <t>Inter</t>
  </si>
  <si>
    <t>β</t>
  </si>
  <si>
    <r>
      <t>β</t>
    </r>
    <r>
      <rPr>
        <b/>
        <vertAlign val="superscript"/>
        <sz val="11"/>
        <color theme="1"/>
        <rFont val="Calibri"/>
        <family val="2"/>
        <charset val="186"/>
      </rPr>
      <t>2</t>
    </r>
  </si>
  <si>
    <t>Ln (N)</t>
  </si>
  <si>
    <t>Ozo i</t>
  </si>
  <si>
    <t>Ozo c0</t>
  </si>
  <si>
    <t>Ozo c1</t>
  </si>
  <si>
    <t>Ozo c2</t>
  </si>
  <si>
    <t>Ozo c3</t>
  </si>
  <si>
    <t>Ozo c4</t>
  </si>
  <si>
    <t>Ozo c5</t>
  </si>
  <si>
    <t>Ozo c6</t>
  </si>
  <si>
    <t>Weibull</t>
  </si>
  <si>
    <t>Dpak</t>
  </si>
  <si>
    <t>M m3 OZO</t>
  </si>
  <si>
    <t>N audze</t>
  </si>
  <si>
    <t>N izc josla</t>
  </si>
  <si>
    <t>N paliek</t>
  </si>
  <si>
    <t>G audze</t>
  </si>
  <si>
    <t>G izc josla</t>
  </si>
  <si>
    <t>M audze</t>
  </si>
  <si>
    <t>M izc josla</t>
  </si>
  <si>
    <t>N audze josla</t>
  </si>
  <si>
    <t>par daudz</t>
  </si>
  <si>
    <t>paliek pāri</t>
  </si>
  <si>
    <t>Jāpieliek</t>
  </si>
  <si>
    <t>NN</t>
  </si>
  <si>
    <t>N izcirsts</t>
  </si>
  <si>
    <t>sum</t>
  </si>
  <si>
    <r>
      <t>N ha</t>
    </r>
    <r>
      <rPr>
        <b/>
        <vertAlign val="superscript"/>
        <sz val="11"/>
        <color rgb="FF3F3F76"/>
        <rFont val="Calibri"/>
        <family val="2"/>
        <charset val="186"/>
        <scheme val="minor"/>
      </rPr>
      <t>-1</t>
    </r>
  </si>
  <si>
    <r>
      <t>N</t>
    </r>
    <r>
      <rPr>
        <b/>
        <vertAlign val="subscript"/>
        <sz val="11"/>
        <color rgb="FF3F3F76"/>
        <rFont val="Calibri"/>
        <family val="2"/>
        <charset val="186"/>
        <scheme val="minor"/>
      </rPr>
      <t>paliek</t>
    </r>
    <r>
      <rPr>
        <b/>
        <sz val="11"/>
        <color rgb="FF3F3F76"/>
        <rFont val="Calibri"/>
        <family val="2"/>
        <charset val="186"/>
        <scheme val="minor"/>
      </rPr>
      <t xml:space="preserve"> ha</t>
    </r>
    <r>
      <rPr>
        <b/>
        <vertAlign val="superscript"/>
        <sz val="11"/>
        <color rgb="FF3F3F76"/>
        <rFont val="Calibri"/>
        <family val="2"/>
        <charset val="186"/>
        <scheme val="minor"/>
      </rPr>
      <t>-1</t>
    </r>
  </si>
  <si>
    <t xml:space="preserve">G-audzes šķērslaukums </t>
  </si>
  <si>
    <t>D-audzes vidējais diametrs</t>
  </si>
  <si>
    <t xml:space="preserve">H-audzes vidējais augstums </t>
  </si>
  <si>
    <t>Apzīmējumi:</t>
  </si>
  <si>
    <t>N-koku skaits</t>
  </si>
  <si>
    <t>Treil.ceļi</t>
  </si>
  <si>
    <t>Nizc-izcērtamo koku skaits</t>
  </si>
  <si>
    <t>Npal-paliekošo koku skaits</t>
  </si>
  <si>
    <t>Visi audzes parametri doti mērvienībās uz hektāra, piem. N - koku skaits uz ha</t>
  </si>
  <si>
    <t>Papīrmalkas sortiments: garums 3.0m, minimālais tievgaļa diametrs bez mizas - 6.0cm</t>
  </si>
  <si>
    <t>papīrmalka procentos no izcērtamās stumbru krājas</t>
  </si>
  <si>
    <t>josla-audzes daļa starp treilēšanas ceļiem</t>
  </si>
  <si>
    <t xml:space="preserve">      aktīvas ir tikai ievades lauku šūnas!!!</t>
  </si>
  <si>
    <r>
      <t xml:space="preserve">    ja tiek pārkāpts kāds no ierobežojumiem - šajos laukos parādīsies </t>
    </r>
    <r>
      <rPr>
        <sz val="11"/>
        <color rgb="FFFF0000"/>
        <rFont val="Calibri"/>
        <family val="2"/>
        <charset val="186"/>
        <scheme val="minor"/>
      </rPr>
      <t>brīdinājuma teksts!</t>
    </r>
  </si>
  <si>
    <t>Kontroles lauki</t>
  </si>
  <si>
    <t>M-audzes krāja</t>
  </si>
  <si>
    <t>Att. starp kokiem m</t>
  </si>
  <si>
    <t>UZMANĪBU!!! Modelis paredzēts tikai aptuvenai sortimentu iznākuma prognozēšanai. Precīzai iegūstamo sortimentu aprēķināšanai nepieciešama  izcērtamo koku precīza uzmērīšana (dastošana)!!!</t>
  </si>
  <si>
    <t xml:space="preserve">Ievadiet modelī Jūsu bērzu audzes parametrus - vidējo diametru (D) vidējo augstumu (H) un koku skaitu uz hektāra (N), kā arī definējiet kopšanas raksturlielumus (treilēšanas ceļu platību, koku skaitu pēc kopšanas) un modelis izrēķinās aptuveno kopšanā iegūstamo papīrmalkas sortimentu apjomu. </t>
  </si>
  <si>
    <r>
      <t xml:space="preserve">Treil.ceļi%- treilēšanas ceļi procentuāli no audzes platības. </t>
    </r>
    <r>
      <rPr>
        <i/>
        <sz val="11"/>
        <color theme="4" tint="-0.249977111117893"/>
        <rFont val="Calibri"/>
        <family val="2"/>
        <charset val="186"/>
        <scheme val="minor"/>
      </rPr>
      <t>Piem</t>
    </r>
    <r>
      <rPr>
        <sz val="11"/>
        <color theme="4" tint="-0.249977111117893"/>
        <rFont val="Calibri"/>
        <family val="2"/>
        <charset val="186"/>
        <scheme val="minor"/>
      </rPr>
      <t>.: Treil.ceļa platums 4m,joslas platums starp treil.ceļiem 20m; Treil.ceļi%=4/24=16,6</t>
    </r>
  </si>
  <si>
    <t>Treil.ceļi-kokmateriālu pievešanai izzāģētie koridori audzē (treilēšanas ceļi)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</si>
</sst>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_ ;[Red]\-0\ "/>
  </numFmts>
  <fonts count="40" x14ac:knownFonts="1">
    <font>
      <sz val="11"/>
      <color theme="1"/>
      <name val="Calibri"/>
      <family val="2"/>
      <charset val="186"/>
      <scheme val="minor"/>
    </font>
    <font>
      <sz val="11"/>
      <color theme="1"/>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F0000"/>
      <name val="Calibri"/>
      <family val="2"/>
      <charset val="186"/>
      <scheme val="minor"/>
    </font>
    <font>
      <b/>
      <sz val="11"/>
      <color theme="1"/>
      <name val="Calibri"/>
      <family val="2"/>
      <charset val="186"/>
      <scheme val="minor"/>
    </font>
    <font>
      <b/>
      <vertAlign val="superscript"/>
      <sz val="11"/>
      <color rgb="FFFA7D00"/>
      <name val="Calibri"/>
      <family val="2"/>
      <charset val="186"/>
      <scheme val="minor"/>
    </font>
    <font>
      <b/>
      <vertAlign val="subscript"/>
      <sz val="11"/>
      <color rgb="FFFA7D00"/>
      <name val="Calibri"/>
      <family val="2"/>
      <charset val="186"/>
      <scheme val="minor"/>
    </font>
    <font>
      <sz val="8"/>
      <color theme="1"/>
      <name val="Calibri"/>
      <family val="2"/>
      <charset val="186"/>
      <scheme val="minor"/>
    </font>
    <font>
      <b/>
      <sz val="8"/>
      <color rgb="FFC00000"/>
      <name val="Calibri"/>
      <family val="2"/>
      <charset val="186"/>
      <scheme val="minor"/>
    </font>
    <font>
      <b/>
      <vertAlign val="superscript"/>
      <sz val="11"/>
      <color rgb="FF3F3F3F"/>
      <name val="Calibri"/>
      <family val="2"/>
      <charset val="186"/>
      <scheme val="minor"/>
    </font>
    <font>
      <sz val="11"/>
      <color rgb="FFC00000"/>
      <name val="Calibri"/>
      <family val="2"/>
      <charset val="186"/>
      <scheme val="minor"/>
    </font>
    <font>
      <b/>
      <i/>
      <sz val="11"/>
      <color theme="3"/>
      <name val="Calibri"/>
      <family val="2"/>
      <charset val="186"/>
      <scheme val="minor"/>
    </font>
    <font>
      <i/>
      <sz val="11"/>
      <color rgb="FF3F3F76"/>
      <name val="Calibri"/>
      <family val="2"/>
      <charset val="186"/>
      <scheme val="minor"/>
    </font>
    <font>
      <vertAlign val="subscript"/>
      <sz val="11"/>
      <color theme="1"/>
      <name val="Calibri"/>
      <family val="2"/>
      <charset val="186"/>
      <scheme val="minor"/>
    </font>
    <font>
      <vertAlign val="superscript"/>
      <sz val="11"/>
      <color theme="1"/>
      <name val="Calibri"/>
      <family val="2"/>
      <charset val="186"/>
      <scheme val="minor"/>
    </font>
    <font>
      <b/>
      <sz val="11"/>
      <color theme="1"/>
      <name val="Calibri"/>
      <family val="2"/>
      <charset val="186"/>
    </font>
    <font>
      <b/>
      <vertAlign val="superscript"/>
      <sz val="11"/>
      <color theme="1"/>
      <name val="Calibri"/>
      <family val="2"/>
      <charset val="186"/>
    </font>
    <font>
      <b/>
      <sz val="11"/>
      <color rgb="FFFA7D00"/>
      <name val="Calibri"/>
      <family val="2"/>
      <charset val="186"/>
    </font>
    <font>
      <b/>
      <sz val="11"/>
      <color rgb="FF0070C0"/>
      <name val="Calibri"/>
      <family val="2"/>
      <charset val="186"/>
      <scheme val="minor"/>
    </font>
    <font>
      <b/>
      <sz val="11"/>
      <color theme="0" tint="-0.499984740745262"/>
      <name val="Calibri"/>
      <family val="2"/>
      <charset val="186"/>
      <scheme val="minor"/>
    </font>
    <font>
      <b/>
      <sz val="11"/>
      <color rgb="FFC00000"/>
      <name val="Calibri"/>
      <family val="2"/>
      <charset val="186"/>
      <scheme val="minor"/>
    </font>
    <font>
      <b/>
      <sz val="11"/>
      <color rgb="FF3F3F76"/>
      <name val="Calibri"/>
      <family val="2"/>
      <charset val="186"/>
      <scheme val="minor"/>
    </font>
    <font>
      <b/>
      <vertAlign val="superscript"/>
      <sz val="11"/>
      <color rgb="FF3F3F76"/>
      <name val="Calibri"/>
      <family val="2"/>
      <charset val="186"/>
      <scheme val="minor"/>
    </font>
    <font>
      <b/>
      <vertAlign val="subscript"/>
      <sz val="11"/>
      <color rgb="FF3F3F76"/>
      <name val="Calibri"/>
      <family val="2"/>
      <charset val="186"/>
      <scheme val="minor"/>
    </font>
    <font>
      <sz val="11"/>
      <name val="Calibri"/>
      <family val="2"/>
      <charset val="186"/>
      <scheme val="minor"/>
    </font>
    <font>
      <i/>
      <sz val="11"/>
      <color theme="1"/>
      <name val="Calibri"/>
      <family val="2"/>
      <charset val="186"/>
      <scheme val="minor"/>
    </font>
    <font>
      <i/>
      <sz val="11"/>
      <color theme="4" tint="-0.499984740745262"/>
      <name val="Calibri"/>
      <family val="2"/>
      <charset val="186"/>
      <scheme val="minor"/>
    </font>
    <font>
      <i/>
      <sz val="11"/>
      <color theme="4" tint="-0.249977111117893"/>
      <name val="Calibri"/>
      <family val="2"/>
      <charset val="186"/>
      <scheme val="minor"/>
    </font>
    <font>
      <sz val="11"/>
      <color theme="4" tint="-0.249977111117893"/>
      <name val="Calibri"/>
      <family val="2"/>
      <charset val="186"/>
      <scheme val="minor"/>
    </font>
    <font>
      <sz val="16"/>
      <color rgb="FFFF0000"/>
      <name val="Calibri"/>
      <family val="2"/>
      <charset val="186"/>
      <scheme val="minor"/>
    </font>
    <font>
      <i/>
      <sz val="11"/>
      <color rgb="FFFF0000"/>
      <name val="Calibri"/>
      <family val="2"/>
      <charset val="186"/>
      <scheme val="minor"/>
    </font>
    <font>
      <b/>
      <sz val="14"/>
      <color rgb="FF3F3F76"/>
      <name val="Calibri"/>
      <family val="2"/>
      <charset val="186"/>
      <scheme val="minor"/>
    </font>
    <font>
      <b/>
      <sz val="14"/>
      <color rgb="FF3F3F3F"/>
      <name val="Calibri"/>
      <family val="2"/>
      <charset val="186"/>
      <scheme val="minor"/>
    </font>
    <font>
      <b/>
      <sz val="14"/>
      <color theme="0"/>
      <name val="Calibri"/>
      <family val="2"/>
      <charset val="186"/>
      <scheme val="minor"/>
    </font>
    <font>
      <sz val="9"/>
      <color indexed="81"/>
      <name val="Tahoma"/>
      <family val="2"/>
      <charset val="186"/>
    </font>
    <font>
      <b/>
      <sz val="9"/>
      <color indexed="81"/>
      <name val="Tahoma"/>
      <family val="2"/>
      <charset val="186"/>
    </font>
    <font>
      <b/>
      <i/>
      <sz val="9"/>
      <color rgb="FFFF0000"/>
      <name val="Tahoma"/>
      <family val="2"/>
      <charset val="186"/>
    </font>
    <font>
      <b/>
      <i/>
      <sz val="11"/>
      <color theme="1"/>
      <name val="Calibri"/>
      <family val="2"/>
      <charset val="186"/>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5">
    <xf numFmtId="0" fontId="0" fillId="0" borderId="0"/>
    <xf numFmtId="0" fontId="2" fillId="2" borderId="1" applyNumberFormat="0" applyAlignment="0" applyProtection="0"/>
    <xf numFmtId="0" fontId="3" fillId="3" borderId="2" applyNumberFormat="0" applyAlignment="0" applyProtection="0"/>
    <xf numFmtId="0" fontId="4" fillId="3" borderId="1" applyNumberFormat="0" applyAlignment="0" applyProtection="0"/>
    <xf numFmtId="0" fontId="1" fillId="4" borderId="3" applyNumberFormat="0" applyFont="0" applyAlignment="0" applyProtection="0"/>
  </cellStyleXfs>
  <cellXfs count="88">
    <xf numFmtId="0" fontId="0" fillId="0" borderId="0" xfId="0"/>
    <xf numFmtId="0" fontId="0" fillId="4" borderId="3" xfId="4"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164" fontId="0" fillId="0" borderId="0" xfId="0" applyNumberFormat="1" applyFont="1" applyAlignment="1">
      <alignment horizontal="center" vertical="center"/>
    </xf>
    <xf numFmtId="1" fontId="0" fillId="0" borderId="0" xfId="0" applyNumberFormat="1" applyFont="1" applyAlignment="1">
      <alignment horizontal="center" vertical="center"/>
    </xf>
    <xf numFmtId="0" fontId="0" fillId="0" borderId="0" xfId="0" applyFont="1" applyAlignment="1">
      <alignment horizontal="center" vertical="center" wrapText="1"/>
    </xf>
    <xf numFmtId="0" fontId="9" fillId="0" borderId="0" xfId="0" applyFont="1" applyAlignment="1">
      <alignment horizontal="center" vertical="center" wrapText="1"/>
    </xf>
    <xf numFmtId="164" fontId="4" fillId="3" borderId="1" xfId="3" applyNumberFormat="1" applyAlignment="1">
      <alignment horizontal="center" vertical="center"/>
    </xf>
    <xf numFmtId="166" fontId="2" fillId="4" borderId="3" xfId="4" applyNumberFormat="1" applyFont="1" applyAlignment="1"/>
    <xf numFmtId="1" fontId="2" fillId="4" borderId="3" xfId="4" applyNumberFormat="1" applyFont="1" applyAlignment="1"/>
    <xf numFmtId="164" fontId="2" fillId="4" borderId="3" xfId="4" applyNumberFormat="1" applyFont="1" applyAlignment="1"/>
    <xf numFmtId="0" fontId="0" fillId="4" borderId="3" xfId="4" applyFont="1" applyAlignment="1">
      <alignment horizontal="center" vertical="center" wrapText="1"/>
    </xf>
    <xf numFmtId="0" fontId="6" fillId="4" borderId="3" xfId="4" applyFont="1" applyAlignment="1">
      <alignment horizontal="center" vertical="center" wrapText="1"/>
    </xf>
    <xf numFmtId="0" fontId="6" fillId="4" borderId="3" xfId="4" applyFont="1" applyAlignment="1">
      <alignment horizontal="center" vertical="center"/>
    </xf>
    <xf numFmtId="2" fontId="0" fillId="4" borderId="3" xfId="4" applyNumberFormat="1" applyFont="1" applyAlignment="1">
      <alignment horizontal="center" vertical="center"/>
    </xf>
    <xf numFmtId="0" fontId="17" fillId="4" borderId="3" xfId="4" applyFont="1" applyAlignment="1">
      <alignment horizontal="center" vertical="center"/>
    </xf>
    <xf numFmtId="1" fontId="2" fillId="4" borderId="3" xfId="4" applyNumberFormat="1" applyFont="1" applyAlignment="1">
      <alignment horizontal="left" vertical="top" wrapText="1"/>
    </xf>
    <xf numFmtId="1" fontId="2" fillId="4" borderId="3" xfId="4" applyNumberFormat="1" applyFont="1" applyAlignment="1">
      <alignment horizontal="center" vertical="center"/>
    </xf>
    <xf numFmtId="0" fontId="19" fillId="3" borderId="1" xfId="3" applyFont="1" applyAlignment="1">
      <alignment horizontal="center" vertical="center"/>
    </xf>
    <xf numFmtId="0" fontId="0" fillId="0" borderId="0" xfId="0" applyAlignment="1">
      <alignment horizontal="center" vertical="center" wrapText="1"/>
    </xf>
    <xf numFmtId="0" fontId="4" fillId="3" borderId="1" xfId="3" applyAlignment="1">
      <alignment horizontal="center" vertical="center" wrapText="1"/>
    </xf>
    <xf numFmtId="0" fontId="20" fillId="3" borderId="1" xfId="3" applyFont="1" applyAlignment="1">
      <alignment horizontal="center" vertical="center" wrapText="1"/>
    </xf>
    <xf numFmtId="0" fontId="21" fillId="3" borderId="1" xfId="3" applyFont="1" applyAlignment="1">
      <alignment horizontal="center" vertical="center" wrapText="1"/>
    </xf>
    <xf numFmtId="166" fontId="4" fillId="3" borderId="1" xfId="3" applyNumberFormat="1" applyAlignment="1">
      <alignment horizontal="center" vertical="center"/>
    </xf>
    <xf numFmtId="1" fontId="4" fillId="3" borderId="1" xfId="3" applyNumberFormat="1" applyAlignment="1">
      <alignment horizontal="center" vertical="center"/>
    </xf>
    <xf numFmtId="1" fontId="20" fillId="3" borderId="1" xfId="3" applyNumberFormat="1" applyFont="1" applyAlignment="1">
      <alignment horizontal="center" vertical="center"/>
    </xf>
    <xf numFmtId="1" fontId="21" fillId="3" borderId="1" xfId="3" applyNumberFormat="1" applyFont="1" applyAlignment="1">
      <alignment horizontal="center" vertical="center"/>
    </xf>
    <xf numFmtId="167" fontId="4" fillId="3" borderId="1" xfId="3" applyNumberFormat="1" applyAlignment="1">
      <alignment horizontal="center" vertical="center"/>
    </xf>
    <xf numFmtId="0" fontId="22" fillId="3" borderId="1" xfId="3" applyFont="1" applyAlignment="1">
      <alignment horizontal="right" vertical="center"/>
    </xf>
    <xf numFmtId="1" fontId="22" fillId="3" borderId="1" xfId="3" applyNumberFormat="1" applyFont="1" applyAlignment="1">
      <alignment horizontal="right" vertical="center"/>
    </xf>
    <xf numFmtId="164" fontId="22" fillId="3" borderId="1" xfId="3" applyNumberFormat="1" applyFont="1" applyAlignment="1">
      <alignment horizontal="right" vertical="center"/>
    </xf>
    <xf numFmtId="0" fontId="0" fillId="0" borderId="0" xfId="0" applyFont="1" applyAlignment="1">
      <alignment horizontal="left" vertical="center"/>
    </xf>
    <xf numFmtId="0" fontId="27" fillId="0" borderId="0" xfId="0" applyFont="1"/>
    <xf numFmtId="0" fontId="0" fillId="0" borderId="0" xfId="0" applyFont="1" applyAlignment="1" applyProtection="1">
      <alignment horizontal="center" vertical="center"/>
    </xf>
    <xf numFmtId="0" fontId="0" fillId="0" borderId="0" xfId="0" applyAlignment="1" applyProtection="1">
      <alignment horizontal="center" vertical="center"/>
    </xf>
    <xf numFmtId="164" fontId="0" fillId="0" borderId="0" xfId="0" applyNumberFormat="1" applyFont="1" applyAlignment="1" applyProtection="1">
      <alignment horizontal="center" vertical="center"/>
    </xf>
    <xf numFmtId="1" fontId="0" fillId="0" borderId="0" xfId="0" applyNumberFormat="1" applyFont="1" applyAlignment="1" applyProtection="1">
      <alignment horizontal="center" vertical="center"/>
    </xf>
    <xf numFmtId="0" fontId="6" fillId="0" borderId="0" xfId="0" applyFont="1" applyAlignment="1" applyProtection="1">
      <alignment horizontal="left" vertical="center"/>
    </xf>
    <xf numFmtId="0" fontId="0" fillId="0" borderId="0" xfId="0" applyProtection="1"/>
    <xf numFmtId="0" fontId="23" fillId="6" borderId="4" xfId="1" applyFont="1" applyFill="1" applyBorder="1" applyAlignment="1" applyProtection="1">
      <alignment horizontal="center" vertical="center" wrapText="1"/>
    </xf>
    <xf numFmtId="0" fontId="23" fillId="6" borderId="1" xfId="1" applyFont="1" applyFill="1" applyAlignment="1" applyProtection="1">
      <alignment horizontal="center" vertical="center" wrapText="1"/>
    </xf>
    <xf numFmtId="0" fontId="4" fillId="6" borderId="1" xfId="3" applyFont="1" applyFill="1" applyAlignment="1" applyProtection="1">
      <alignment horizontal="center" vertical="center" wrapText="1"/>
    </xf>
    <xf numFmtId="0" fontId="4" fillId="3" borderId="1" xfId="3" applyFont="1" applyAlignment="1" applyProtection="1">
      <alignment horizontal="center" vertical="center" wrapText="1"/>
    </xf>
    <xf numFmtId="0" fontId="0" fillId="0" borderId="0" xfId="0" applyFont="1" applyAlignment="1" applyProtection="1">
      <alignment horizontal="center" vertical="center" wrapText="1"/>
    </xf>
    <xf numFmtId="164" fontId="0" fillId="0" borderId="0" xfId="0" applyNumberFormat="1" applyFont="1" applyAlignment="1" applyProtection="1">
      <alignment horizontal="center" vertical="center" wrapText="1"/>
    </xf>
    <xf numFmtId="1" fontId="0" fillId="0" borderId="0" xfId="0" applyNumberFormat="1" applyFont="1" applyAlignment="1" applyProtection="1">
      <alignment horizontal="center" vertical="center" wrapText="1"/>
    </xf>
    <xf numFmtId="164" fontId="4" fillId="3" borderId="1" xfId="3" applyNumberFormat="1" applyFont="1" applyAlignment="1" applyProtection="1">
      <alignment horizontal="center" vertical="center"/>
    </xf>
    <xf numFmtId="1" fontId="4" fillId="3" borderId="1" xfId="3" applyNumberFormat="1" applyFont="1" applyAlignment="1" applyProtection="1">
      <alignment horizontal="center" vertical="center"/>
    </xf>
    <xf numFmtId="0" fontId="4" fillId="3" borderId="1" xfId="3" applyFont="1" applyAlignment="1" applyProtection="1">
      <alignment horizontal="center" vertical="center"/>
    </xf>
    <xf numFmtId="0" fontId="9" fillId="0" borderId="0" xfId="0" applyFont="1" applyAlignment="1" applyProtection="1">
      <alignment horizontal="center" vertical="center" wrapText="1"/>
    </xf>
    <xf numFmtId="0" fontId="10" fillId="5" borderId="0" xfId="0" applyFont="1" applyFill="1" applyAlignment="1" applyProtection="1">
      <alignment horizontal="center" vertical="center" wrapText="1"/>
    </xf>
    <xf numFmtId="0" fontId="3" fillId="3" borderId="2" xfId="2" applyFont="1" applyAlignment="1" applyProtection="1">
      <alignment horizontal="center" vertical="center" wrapText="1"/>
    </xf>
    <xf numFmtId="164" fontId="4" fillId="3" borderId="1" xfId="3" applyNumberFormat="1" applyAlignment="1" applyProtection="1">
      <alignment horizontal="center" vertical="center"/>
    </xf>
    <xf numFmtId="164" fontId="3" fillId="3" borderId="2" xfId="2" applyNumberFormat="1" applyFont="1" applyAlignment="1" applyProtection="1">
      <alignment horizontal="center" vertical="center"/>
    </xf>
    <xf numFmtId="1" fontId="12" fillId="0" borderId="0" xfId="0" applyNumberFormat="1" applyFont="1" applyAlignment="1" applyProtection="1">
      <alignment horizontal="center" vertical="center"/>
    </xf>
    <xf numFmtId="165" fontId="13" fillId="3" borderId="2" xfId="2" applyNumberFormat="1" applyFont="1" applyAlignment="1" applyProtection="1">
      <alignment horizontal="center" vertical="center"/>
    </xf>
    <xf numFmtId="0" fontId="0" fillId="0" borderId="0" xfId="0" applyFont="1" applyAlignment="1" applyProtection="1">
      <alignment horizontal="right" vertical="center"/>
    </xf>
    <xf numFmtId="0" fontId="28" fillId="0" borderId="0" xfId="0" applyFont="1" applyAlignment="1" applyProtection="1">
      <alignment horizontal="left" vertical="center"/>
    </xf>
    <xf numFmtId="0" fontId="32" fillId="0" borderId="0" xfId="0" applyFont="1" applyAlignment="1" applyProtection="1">
      <alignment horizontal="left" vertical="center"/>
    </xf>
    <xf numFmtId="0" fontId="31" fillId="0" borderId="0" xfId="0" applyFont="1" applyBorder="1" applyAlignment="1" applyProtection="1">
      <alignment vertical="center" wrapText="1"/>
    </xf>
    <xf numFmtId="0" fontId="33" fillId="2" borderId="4" xfId="1" applyFont="1" applyBorder="1" applyAlignment="1" applyProtection="1">
      <alignment horizontal="center" vertical="center"/>
      <protection locked="0"/>
    </xf>
    <xf numFmtId="0" fontId="33" fillId="2" borderId="1" xfId="1" applyFont="1" applyAlignment="1" applyProtection="1">
      <alignment horizontal="center" vertical="center"/>
      <protection locked="0"/>
    </xf>
    <xf numFmtId="164" fontId="34" fillId="3" borderId="2" xfId="2" applyNumberFormat="1" applyFont="1" applyAlignment="1" applyProtection="1">
      <alignment horizontal="center" vertical="center"/>
    </xf>
    <xf numFmtId="0" fontId="27" fillId="4" borderId="3" xfId="4" applyFont="1" applyAlignment="1" applyProtection="1">
      <alignment horizontal="center" vertical="center"/>
    </xf>
    <xf numFmtId="0" fontId="0" fillId="0" borderId="0" xfId="0" applyFont="1" applyAlignment="1" applyProtection="1">
      <alignment horizontal="center" vertical="top"/>
    </xf>
    <xf numFmtId="0" fontId="26" fillId="5" borderId="0" xfId="0" applyFont="1" applyFill="1" applyAlignment="1" applyProtection="1">
      <alignment horizontal="left" vertical="top"/>
    </xf>
    <xf numFmtId="0" fontId="0" fillId="5" borderId="0" xfId="0" applyFont="1" applyFill="1" applyAlignment="1" applyProtection="1">
      <alignment horizontal="center" vertical="top"/>
    </xf>
    <xf numFmtId="0" fontId="0" fillId="0" borderId="0" xfId="0" applyFont="1" applyAlignment="1" applyProtection="1">
      <alignment horizontal="left" vertical="top"/>
    </xf>
    <xf numFmtId="164" fontId="0" fillId="0" borderId="0" xfId="0" applyNumberFormat="1" applyFont="1" applyAlignment="1" applyProtection="1">
      <alignment horizontal="center" vertical="top"/>
    </xf>
    <xf numFmtId="1" fontId="0" fillId="0" borderId="0" xfId="0" applyNumberFormat="1" applyFont="1" applyAlignment="1" applyProtection="1">
      <alignment horizontal="center" vertical="top"/>
    </xf>
    <xf numFmtId="0" fontId="0" fillId="0" borderId="0" xfId="0" applyFont="1" applyAlignment="1">
      <alignment horizontal="center" vertical="top"/>
    </xf>
    <xf numFmtId="0" fontId="0" fillId="0" borderId="0" xfId="0" applyFont="1" applyAlignment="1">
      <alignment horizontal="left" vertical="top"/>
    </xf>
    <xf numFmtId="0" fontId="38" fillId="0" borderId="0" xfId="0" applyFont="1" applyFill="1" applyAlignment="1" applyProtection="1">
      <alignment horizontal="left" vertical="center"/>
    </xf>
    <xf numFmtId="0" fontId="35" fillId="7" borderId="0" xfId="0" applyFont="1" applyFill="1" applyBorder="1" applyAlignment="1" applyProtection="1">
      <alignment horizontal="center" vertical="center" wrapText="1"/>
    </xf>
    <xf numFmtId="166" fontId="14" fillId="4" borderId="7" xfId="4" applyNumberFormat="1" applyFont="1" applyBorder="1" applyAlignment="1">
      <alignment horizontal="left"/>
    </xf>
    <xf numFmtId="166" fontId="14" fillId="4" borderId="8" xfId="4" applyNumberFormat="1" applyFont="1" applyBorder="1" applyAlignment="1">
      <alignment horizontal="left"/>
    </xf>
    <xf numFmtId="166" fontId="14" fillId="4" borderId="9" xfId="4" applyNumberFormat="1" applyFont="1" applyBorder="1" applyAlignment="1">
      <alignment horizontal="left"/>
    </xf>
    <xf numFmtId="0" fontId="17" fillId="4" borderId="3" xfId="4" applyFont="1" applyAlignment="1">
      <alignment horizontal="center" vertical="center"/>
    </xf>
    <xf numFmtId="0" fontId="2" fillId="2" borderId="5" xfId="1" applyBorder="1" applyAlignment="1" applyProtection="1">
      <alignment horizontal="center" vertical="center"/>
    </xf>
    <xf numFmtId="0" fontId="2" fillId="2" borderId="6" xfId="1" applyBorder="1" applyAlignment="1" applyProtection="1">
      <alignment horizontal="center" vertical="center"/>
    </xf>
    <xf numFmtId="1" fontId="14" fillId="4" borderId="7" xfId="4" applyNumberFormat="1" applyFont="1" applyBorder="1" applyAlignment="1">
      <alignment horizontal="center"/>
    </xf>
    <xf numFmtId="1" fontId="14" fillId="4" borderId="8" xfId="4" applyNumberFormat="1" applyFont="1" applyBorder="1" applyAlignment="1">
      <alignment horizontal="center"/>
    </xf>
    <xf numFmtId="1" fontId="14" fillId="4" borderId="9" xfId="4" applyNumberFormat="1" applyFont="1" applyBorder="1" applyAlignment="1">
      <alignment horizontal="center"/>
    </xf>
    <xf numFmtId="1" fontId="14" fillId="4" borderId="7" xfId="4" applyNumberFormat="1" applyFont="1" applyBorder="1" applyAlignment="1">
      <alignment horizontal="left"/>
    </xf>
    <xf numFmtId="1" fontId="14" fillId="4" borderId="8" xfId="4" applyNumberFormat="1" applyFont="1" applyBorder="1" applyAlignment="1">
      <alignment horizontal="left"/>
    </xf>
    <xf numFmtId="1" fontId="14" fillId="4" borderId="9" xfId="4" applyNumberFormat="1" applyFont="1" applyBorder="1" applyAlignment="1">
      <alignment horizontal="left"/>
    </xf>
    <xf numFmtId="0" fontId="39" fillId="0" borderId="0" xfId="0" applyFont="1" applyAlignment="1">
      <alignment horizontal="left" wrapText="1"/>
    </xf>
  </cellXfs>
  <cellStyles count="5">
    <cellStyle name="Calculation" xfId="3" builtinId="22"/>
    <cellStyle name="Input" xfId="1" builtinId="20"/>
    <cellStyle name="Normal" xfId="0" builtinId="0"/>
    <cellStyle name="Note" xfId="4" builtinId="1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45966353578083"/>
          <c:y val="4.0235594433409926E-2"/>
          <c:w val="0.80374784996218407"/>
          <c:h val="0.63398314086545993"/>
        </c:manualLayout>
      </c:layout>
      <c:scatterChart>
        <c:scatterStyle val="smoothMarker"/>
        <c:varyColors val="0"/>
        <c:ser>
          <c:idx val="0"/>
          <c:order val="0"/>
          <c:tx>
            <c:strRef>
              <c:f>[1]PM_sortim_aprekins!$V$46</c:f>
              <c:strCache>
                <c:ptCount val="1"/>
                <c:pt idx="0">
                  <c:v>N audze</c:v>
                </c:pt>
              </c:strCache>
            </c:strRef>
          </c:tx>
          <c:spPr>
            <a:ln w="19050">
              <a:solidFill>
                <a:srgbClr val="0070C0"/>
              </a:solidFill>
            </a:ln>
          </c:spPr>
          <c:marker>
            <c:symbol val="none"/>
          </c:marker>
          <c:xVal>
            <c:numRef>
              <c:f>[1]PM_sortim_aprekins!$U$47:$U$59</c:f>
              <c:numCache>
                <c:formatCode>General</c:formatCode>
                <c:ptCount val="13"/>
                <c:pt idx="0">
                  <c:v>2</c:v>
                </c:pt>
                <c:pt idx="1">
                  <c:v>4</c:v>
                </c:pt>
                <c:pt idx="2">
                  <c:v>6</c:v>
                </c:pt>
                <c:pt idx="3">
                  <c:v>8</c:v>
                </c:pt>
                <c:pt idx="4">
                  <c:v>10</c:v>
                </c:pt>
                <c:pt idx="5">
                  <c:v>12</c:v>
                </c:pt>
                <c:pt idx="6">
                  <c:v>14</c:v>
                </c:pt>
                <c:pt idx="7">
                  <c:v>16</c:v>
                </c:pt>
                <c:pt idx="8">
                  <c:v>18</c:v>
                </c:pt>
                <c:pt idx="9">
                  <c:v>20</c:v>
                </c:pt>
                <c:pt idx="10">
                  <c:v>22</c:v>
                </c:pt>
                <c:pt idx="11">
                  <c:v>24</c:v>
                </c:pt>
                <c:pt idx="12">
                  <c:v>26</c:v>
                </c:pt>
              </c:numCache>
            </c:numRef>
          </c:xVal>
          <c:yVal>
            <c:numRef>
              <c:f>[1]PM_sortim_aprekins!$V$47:$V$59</c:f>
              <c:numCache>
                <c:formatCode>General</c:formatCode>
                <c:ptCount val="13"/>
                <c:pt idx="0">
                  <c:v>8.7134491313373132</c:v>
                </c:pt>
                <c:pt idx="1">
                  <c:v>55.124984259143915</c:v>
                </c:pt>
                <c:pt idx="2">
                  <c:v>166.69341135000349</c:v>
                </c:pt>
                <c:pt idx="3">
                  <c:v>340.16530734948566</c:v>
                </c:pt>
                <c:pt idx="4">
                  <c:v>514.21121427368098</c:v>
                </c:pt>
                <c:pt idx="5">
                  <c:v>579.16526190206014</c:v>
                </c:pt>
                <c:pt idx="6">
                  <c:v>469.34232037035304</c:v>
                </c:pt>
                <c:pt idx="7">
                  <c:v>257.9344246752039</c:v>
                </c:pt>
                <c:pt idx="8">
                  <c:v>89.078089310046835</c:v>
                </c:pt>
                <c:pt idx="9">
                  <c:v>17.667937831046402</c:v>
                </c:pt>
                <c:pt idx="10">
                  <c:v>1.8158473751736892</c:v>
                </c:pt>
                <c:pt idx="11">
                  <c:v>8.6089307729707798E-2</c:v>
                </c:pt>
                <c:pt idx="12">
                  <c:v>1.6517626927452511E-3</c:v>
                </c:pt>
              </c:numCache>
            </c:numRef>
          </c:yVal>
          <c:smooth val="1"/>
          <c:extLst>
            <c:ext xmlns:c16="http://schemas.microsoft.com/office/drawing/2014/chart" uri="{C3380CC4-5D6E-409C-BE32-E72D297353CC}">
              <c16:uniqueId val="{00000000-100A-41E2-8454-A51CFEDCCC3E}"/>
            </c:ext>
          </c:extLst>
        </c:ser>
        <c:ser>
          <c:idx val="1"/>
          <c:order val="1"/>
          <c:tx>
            <c:strRef>
              <c:f>[1]PM_sortim_aprekins!$W$46</c:f>
              <c:strCache>
                <c:ptCount val="1"/>
                <c:pt idx="0">
                  <c:v>N izcirsts</c:v>
                </c:pt>
              </c:strCache>
            </c:strRef>
          </c:tx>
          <c:spPr>
            <a:ln w="19050">
              <a:solidFill>
                <a:srgbClr val="C00000"/>
              </a:solidFill>
            </a:ln>
          </c:spPr>
          <c:marker>
            <c:symbol val="none"/>
          </c:marker>
          <c:xVal>
            <c:numRef>
              <c:f>[1]PM_sortim_aprekins!$U$47:$U$59</c:f>
              <c:numCache>
                <c:formatCode>General</c:formatCode>
                <c:ptCount val="13"/>
                <c:pt idx="0">
                  <c:v>2</c:v>
                </c:pt>
                <c:pt idx="1">
                  <c:v>4</c:v>
                </c:pt>
                <c:pt idx="2">
                  <c:v>6</c:v>
                </c:pt>
                <c:pt idx="3">
                  <c:v>8</c:v>
                </c:pt>
                <c:pt idx="4">
                  <c:v>10</c:v>
                </c:pt>
                <c:pt idx="5">
                  <c:v>12</c:v>
                </c:pt>
                <c:pt idx="6">
                  <c:v>14</c:v>
                </c:pt>
                <c:pt idx="7">
                  <c:v>16</c:v>
                </c:pt>
                <c:pt idx="8">
                  <c:v>18</c:v>
                </c:pt>
                <c:pt idx="9">
                  <c:v>20</c:v>
                </c:pt>
                <c:pt idx="10">
                  <c:v>22</c:v>
                </c:pt>
                <c:pt idx="11">
                  <c:v>24</c:v>
                </c:pt>
                <c:pt idx="12">
                  <c:v>26</c:v>
                </c:pt>
              </c:numCache>
            </c:numRef>
          </c:xVal>
          <c:yVal>
            <c:numRef>
              <c:f>[1]PM_sortim_aprekins!$W$47:$W$59</c:f>
              <c:numCache>
                <c:formatCode>General</c:formatCode>
                <c:ptCount val="13"/>
                <c:pt idx="0">
                  <c:v>4.3321092035408792</c:v>
                </c:pt>
                <c:pt idx="1">
                  <c:v>38.067170474034739</c:v>
                </c:pt>
                <c:pt idx="2">
                  <c:v>140.35650670667235</c:v>
                </c:pt>
                <c:pt idx="3">
                  <c:v>313.39172977633177</c:v>
                </c:pt>
                <c:pt idx="4">
                  <c:v>445.90318493970676</c:v>
                </c:pt>
                <c:pt idx="5">
                  <c:v>373.15702729234999</c:v>
                </c:pt>
                <c:pt idx="6">
                  <c:v>156.80872153697214</c:v>
                </c:pt>
                <c:pt idx="7">
                  <c:v>26.594881918425926</c:v>
                </c:pt>
                <c:pt idx="8">
                  <c:v>1.3736250871852462</c:v>
                </c:pt>
                <c:pt idx="9">
                  <c:v>1.5021142676005184E-2</c:v>
                </c:pt>
                <c:pt idx="10">
                  <c:v>2.1919664732195088E-5</c:v>
                </c:pt>
                <c:pt idx="11">
                  <c:v>2.4394921638304368E-9</c:v>
                </c:pt>
                <c:pt idx="12">
                  <c:v>0</c:v>
                </c:pt>
              </c:numCache>
            </c:numRef>
          </c:yVal>
          <c:smooth val="1"/>
          <c:extLst>
            <c:ext xmlns:c16="http://schemas.microsoft.com/office/drawing/2014/chart" uri="{C3380CC4-5D6E-409C-BE32-E72D297353CC}">
              <c16:uniqueId val="{00000001-100A-41E2-8454-A51CFEDCCC3E}"/>
            </c:ext>
          </c:extLst>
        </c:ser>
        <c:ser>
          <c:idx val="2"/>
          <c:order val="2"/>
          <c:tx>
            <c:strRef>
              <c:f>[1]PM_sortim_aprekins!$X$46</c:f>
              <c:strCache>
                <c:ptCount val="1"/>
                <c:pt idx="0">
                  <c:v>N paliek</c:v>
                </c:pt>
              </c:strCache>
            </c:strRef>
          </c:tx>
          <c:spPr>
            <a:ln w="19050">
              <a:solidFill>
                <a:srgbClr val="00B050"/>
              </a:solidFill>
            </a:ln>
          </c:spPr>
          <c:marker>
            <c:symbol val="none"/>
          </c:marker>
          <c:xVal>
            <c:numRef>
              <c:f>[1]PM_sortim_aprekins!$U$47:$U$59</c:f>
              <c:numCache>
                <c:formatCode>General</c:formatCode>
                <c:ptCount val="13"/>
                <c:pt idx="0">
                  <c:v>2</c:v>
                </c:pt>
                <c:pt idx="1">
                  <c:v>4</c:v>
                </c:pt>
                <c:pt idx="2">
                  <c:v>6</c:v>
                </c:pt>
                <c:pt idx="3">
                  <c:v>8</c:v>
                </c:pt>
                <c:pt idx="4">
                  <c:v>10</c:v>
                </c:pt>
                <c:pt idx="5">
                  <c:v>12</c:v>
                </c:pt>
                <c:pt idx="6">
                  <c:v>14</c:v>
                </c:pt>
                <c:pt idx="7">
                  <c:v>16</c:v>
                </c:pt>
                <c:pt idx="8">
                  <c:v>18</c:v>
                </c:pt>
                <c:pt idx="9">
                  <c:v>20</c:v>
                </c:pt>
                <c:pt idx="10">
                  <c:v>22</c:v>
                </c:pt>
                <c:pt idx="11">
                  <c:v>24</c:v>
                </c:pt>
                <c:pt idx="12">
                  <c:v>26</c:v>
                </c:pt>
              </c:numCache>
            </c:numRef>
          </c:xVal>
          <c:yVal>
            <c:numRef>
              <c:f>[1]PM_sortim_aprekins!$X$47:$X$59</c:f>
              <c:numCache>
                <c:formatCode>General</c:formatCode>
                <c:ptCount val="13"/>
                <c:pt idx="0">
                  <c:v>4.381339927796434</c:v>
                </c:pt>
                <c:pt idx="1">
                  <c:v>17.057813785109175</c:v>
                </c:pt>
                <c:pt idx="2">
                  <c:v>26.336904643331138</c:v>
                </c:pt>
                <c:pt idx="3">
                  <c:v>26.773577573153887</c:v>
                </c:pt>
                <c:pt idx="4">
                  <c:v>68.308029333974218</c:v>
                </c:pt>
                <c:pt idx="5">
                  <c:v>206.00823460971014</c:v>
                </c:pt>
                <c:pt idx="6">
                  <c:v>312.53359883338089</c:v>
                </c:pt>
                <c:pt idx="7">
                  <c:v>231.33954275677797</c:v>
                </c:pt>
                <c:pt idx="8">
                  <c:v>87.704464222861588</c:v>
                </c:pt>
                <c:pt idx="9">
                  <c:v>17.652916688370397</c:v>
                </c:pt>
                <c:pt idx="10">
                  <c:v>1.815825455508957</c:v>
                </c:pt>
                <c:pt idx="11">
                  <c:v>8.6089305290215634E-2</c:v>
                </c:pt>
                <c:pt idx="12">
                  <c:v>1.6517626927452511E-3</c:v>
                </c:pt>
              </c:numCache>
            </c:numRef>
          </c:yVal>
          <c:smooth val="1"/>
          <c:extLst>
            <c:ext xmlns:c16="http://schemas.microsoft.com/office/drawing/2014/chart" uri="{C3380CC4-5D6E-409C-BE32-E72D297353CC}">
              <c16:uniqueId val="{00000002-100A-41E2-8454-A51CFEDCCC3E}"/>
            </c:ext>
          </c:extLst>
        </c:ser>
        <c:dLbls>
          <c:showLegendKey val="0"/>
          <c:showVal val="0"/>
          <c:showCatName val="0"/>
          <c:showSerName val="0"/>
          <c:showPercent val="0"/>
          <c:showBubbleSize val="0"/>
        </c:dLbls>
        <c:axId val="87888960"/>
        <c:axId val="87889536"/>
      </c:scatterChart>
      <c:valAx>
        <c:axId val="87888960"/>
        <c:scaling>
          <c:orientation val="minMax"/>
        </c:scaling>
        <c:delete val="0"/>
        <c:axPos val="b"/>
        <c:title>
          <c:tx>
            <c:rich>
              <a:bodyPr/>
              <a:lstStyle/>
              <a:p>
                <a:pPr>
                  <a:defRPr/>
                </a:pPr>
                <a:r>
                  <a:rPr lang="en-US"/>
                  <a:t>D cm</a:t>
                </a:r>
              </a:p>
            </c:rich>
          </c:tx>
          <c:layout/>
          <c:overlay val="0"/>
        </c:title>
        <c:numFmt formatCode="General" sourceLinked="1"/>
        <c:majorTickMark val="out"/>
        <c:minorTickMark val="none"/>
        <c:tickLblPos val="nextTo"/>
        <c:crossAx val="87889536"/>
        <c:crosses val="autoZero"/>
        <c:crossBetween val="midCat"/>
        <c:majorUnit val="4"/>
      </c:valAx>
      <c:valAx>
        <c:axId val="87889536"/>
        <c:scaling>
          <c:orientation val="minMax"/>
          <c:min val="0"/>
        </c:scaling>
        <c:delete val="0"/>
        <c:axPos val="l"/>
        <c:majorGridlines/>
        <c:title>
          <c:tx>
            <c:rich>
              <a:bodyPr rot="-5400000" vert="horz"/>
              <a:lstStyle/>
              <a:p>
                <a:pPr>
                  <a:defRPr/>
                </a:pPr>
                <a:r>
                  <a:rPr lang="en-US"/>
                  <a:t>N ha</a:t>
                </a:r>
                <a:r>
                  <a:rPr lang="en-US" baseline="30000"/>
                  <a:t>-1</a:t>
                </a:r>
              </a:p>
            </c:rich>
          </c:tx>
          <c:layout/>
          <c:overlay val="0"/>
        </c:title>
        <c:numFmt formatCode="General" sourceLinked="1"/>
        <c:majorTickMark val="out"/>
        <c:minorTickMark val="none"/>
        <c:tickLblPos val="nextTo"/>
        <c:crossAx val="87888960"/>
        <c:crosses val="autoZero"/>
        <c:crossBetween val="midCat"/>
      </c:valAx>
    </c:plotArea>
    <c:legend>
      <c:legendPos val="b"/>
      <c:layout>
        <c:manualLayout>
          <c:xMode val="edge"/>
          <c:yMode val="edge"/>
          <c:x val="0.19600686774956308"/>
          <c:y val="0.8626488606035988"/>
          <c:w val="0.6014585101732588"/>
          <c:h val="0.12911039547135433"/>
        </c:manualLayout>
      </c:layout>
      <c:overlay val="0"/>
    </c:legend>
    <c:plotVisOnly val="1"/>
    <c:dispBlanksAs val="gap"/>
    <c:showDLblsOverMax val="0"/>
  </c:chart>
  <c:spPr>
    <a:ln>
      <a:noFill/>
    </a:ln>
  </c:spPr>
  <c:txPr>
    <a:bodyPr/>
    <a:lstStyle/>
    <a:p>
      <a:pPr>
        <a:defRPr sz="800"/>
      </a:pPr>
      <a:endParaRPr lang="lv-LV"/>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209549</xdr:colOff>
      <xdr:row>3</xdr:row>
      <xdr:rowOff>203343</xdr:rowOff>
    </xdr:from>
    <xdr:to>
      <xdr:col>20</xdr:col>
      <xdr:colOff>504825</xdr:colOff>
      <xdr:row>7</xdr:row>
      <xdr:rowOff>267555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IS_sortimentu%20modelis%20B%20jaunaud&#382;u%20kop&#353;an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Dati_d_aprek"/>
      <sheetName val="Koeficienti"/>
      <sheetName val="PM_sortim_aprekins"/>
      <sheetName val="PM_sortim_aprekins (neizmanto)"/>
      <sheetName val="Tabulas"/>
    </sheetNames>
    <sheetDataSet>
      <sheetData sheetId="0"/>
      <sheetData sheetId="1"/>
      <sheetData sheetId="2"/>
      <sheetData sheetId="3">
        <row r="46">
          <cell r="V46" t="str">
            <v>N audze</v>
          </cell>
          <cell r="W46" t="str">
            <v>N izcirsts</v>
          </cell>
          <cell r="X46" t="str">
            <v>N paliek</v>
          </cell>
        </row>
        <row r="47">
          <cell r="U47">
            <v>2</v>
          </cell>
          <cell r="V47">
            <v>8.7134491313373132</v>
          </cell>
          <cell r="W47">
            <v>4.3321092035408792</v>
          </cell>
          <cell r="X47">
            <v>4.381339927796434</v>
          </cell>
        </row>
        <row r="48">
          <cell r="U48">
            <v>4</v>
          </cell>
          <cell r="V48">
            <v>55.124984259143915</v>
          </cell>
          <cell r="W48">
            <v>38.067170474034739</v>
          </cell>
          <cell r="X48">
            <v>17.057813785109175</v>
          </cell>
        </row>
        <row r="49">
          <cell r="U49">
            <v>6</v>
          </cell>
          <cell r="V49">
            <v>166.69341135000349</v>
          </cell>
          <cell r="W49">
            <v>140.35650670667235</v>
          </cell>
          <cell r="X49">
            <v>26.336904643331138</v>
          </cell>
        </row>
        <row r="50">
          <cell r="U50">
            <v>8</v>
          </cell>
          <cell r="V50">
            <v>340.16530734948566</v>
          </cell>
          <cell r="W50">
            <v>313.39172977633177</v>
          </cell>
          <cell r="X50">
            <v>26.773577573153887</v>
          </cell>
        </row>
        <row r="51">
          <cell r="U51">
            <v>10</v>
          </cell>
          <cell r="V51">
            <v>514.21121427368098</v>
          </cell>
          <cell r="W51">
            <v>445.90318493970676</v>
          </cell>
          <cell r="X51">
            <v>68.308029333974218</v>
          </cell>
        </row>
        <row r="52">
          <cell r="U52">
            <v>12</v>
          </cell>
          <cell r="V52">
            <v>579.16526190206014</v>
          </cell>
          <cell r="W52">
            <v>373.15702729234999</v>
          </cell>
          <cell r="X52">
            <v>206.00823460971014</v>
          </cell>
        </row>
        <row r="53">
          <cell r="U53">
            <v>14</v>
          </cell>
          <cell r="V53">
            <v>469.34232037035304</v>
          </cell>
          <cell r="W53">
            <v>156.80872153697214</v>
          </cell>
          <cell r="X53">
            <v>312.53359883338089</v>
          </cell>
        </row>
        <row r="54">
          <cell r="U54">
            <v>16</v>
          </cell>
          <cell r="V54">
            <v>257.9344246752039</v>
          </cell>
          <cell r="W54">
            <v>26.594881918425926</v>
          </cell>
          <cell r="X54">
            <v>231.33954275677797</v>
          </cell>
        </row>
        <row r="55">
          <cell r="U55">
            <v>18</v>
          </cell>
          <cell r="V55">
            <v>89.078089310046835</v>
          </cell>
          <cell r="W55">
            <v>1.3736250871852462</v>
          </cell>
          <cell r="X55">
            <v>87.704464222861588</v>
          </cell>
        </row>
        <row r="56">
          <cell r="U56">
            <v>20</v>
          </cell>
          <cell r="V56">
            <v>17.667937831046402</v>
          </cell>
          <cell r="W56">
            <v>1.5021142676005184E-2</v>
          </cell>
          <cell r="X56">
            <v>17.652916688370397</v>
          </cell>
        </row>
        <row r="57">
          <cell r="U57">
            <v>22</v>
          </cell>
          <cell r="V57">
            <v>1.8158473751736892</v>
          </cell>
          <cell r="W57">
            <v>2.1919664732195088E-5</v>
          </cell>
          <cell r="X57">
            <v>1.815825455508957</v>
          </cell>
        </row>
        <row r="58">
          <cell r="U58">
            <v>24</v>
          </cell>
          <cell r="V58">
            <v>8.6089307729707798E-2</v>
          </cell>
          <cell r="W58">
            <v>2.4394921638304368E-9</v>
          </cell>
          <cell r="X58">
            <v>8.6089305290215634E-2</v>
          </cell>
        </row>
        <row r="59">
          <cell r="U59">
            <v>26</v>
          </cell>
          <cell r="V59">
            <v>1.6517626927452511E-3</v>
          </cell>
          <cell r="W59">
            <v>0</v>
          </cell>
          <cell r="X59">
            <v>1.6517626927452511E-3</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9"/>
  <sheetViews>
    <sheetView showGridLines="0" tabSelected="1" zoomScale="89" zoomScaleNormal="89" workbookViewId="0">
      <selection activeCell="B7" sqref="B7"/>
    </sheetView>
  </sheetViews>
  <sheetFormatPr defaultColWidth="6.7109375" defaultRowHeight="15" x14ac:dyDescent="0.25"/>
  <cols>
    <col min="1" max="1" width="12.85546875" style="2" bestFit="1" customWidth="1"/>
    <col min="2" max="2" width="6.7109375" style="2"/>
    <col min="3" max="3" width="8.28515625" style="2" customWidth="1"/>
    <col min="4" max="5" width="6.7109375" style="2"/>
    <col min="6" max="6" width="7" style="2" bestFit="1" customWidth="1"/>
    <col min="7" max="7" width="10.42578125" style="2" customWidth="1"/>
    <col min="8" max="8" width="6.7109375" style="2"/>
    <col min="9" max="9" width="7.5703125" style="2" customWidth="1"/>
    <col min="10" max="10" width="6.7109375" style="2"/>
    <col min="11" max="11" width="7.7109375" style="2" bestFit="1" customWidth="1"/>
    <col min="12" max="12" width="8.42578125" style="2" customWidth="1"/>
    <col min="13" max="13" width="9.28515625" style="2" bestFit="1" customWidth="1"/>
    <col min="14" max="20" width="6.7109375" style="2" customWidth="1"/>
    <col min="21" max="21" width="20" style="2" customWidth="1"/>
    <col min="22" max="24" width="6.7109375" style="2" customWidth="1"/>
    <col min="25" max="16384" width="6.7109375" style="2"/>
  </cols>
  <sheetData>
    <row r="1" spans="1:23" x14ac:dyDescent="0.25">
      <c r="A1" s="64" t="s">
        <v>0</v>
      </c>
      <c r="B1" s="64" t="s">
        <v>1</v>
      </c>
      <c r="C1" s="64" t="s">
        <v>2</v>
      </c>
      <c r="D1" s="64" t="s">
        <v>3</v>
      </c>
      <c r="E1" s="64" t="s">
        <v>4</v>
      </c>
      <c r="F1" s="64" t="s">
        <v>5</v>
      </c>
      <c r="G1" s="64" t="s">
        <v>16</v>
      </c>
      <c r="H1" s="34"/>
      <c r="I1" s="34"/>
      <c r="J1" s="34"/>
      <c r="K1" s="34"/>
      <c r="L1" s="34"/>
      <c r="M1" s="34"/>
      <c r="N1" s="34"/>
      <c r="O1" s="34"/>
      <c r="P1" s="34"/>
      <c r="Q1" s="34"/>
      <c r="R1" s="34"/>
      <c r="S1" s="34"/>
      <c r="T1" s="34"/>
      <c r="U1" s="34"/>
      <c r="V1" s="34"/>
    </row>
    <row r="2" spans="1:23" ht="15" customHeight="1" x14ac:dyDescent="0.25">
      <c r="A2" s="64" t="s">
        <v>6</v>
      </c>
      <c r="B2" s="64">
        <v>6</v>
      </c>
      <c r="C2" s="64">
        <v>6</v>
      </c>
      <c r="D2" s="64">
        <v>1000</v>
      </c>
      <c r="E2" s="64">
        <v>400</v>
      </c>
      <c r="F2" s="64"/>
      <c r="G2" s="64"/>
      <c r="H2" s="34"/>
      <c r="I2" s="79" t="s">
        <v>25</v>
      </c>
      <c r="J2" s="80"/>
      <c r="K2" s="59" t="s">
        <v>89</v>
      </c>
      <c r="L2" s="34"/>
      <c r="M2" s="34"/>
      <c r="N2" s="34"/>
      <c r="O2" s="34"/>
      <c r="P2" s="34"/>
      <c r="Q2" s="34"/>
      <c r="R2" s="34"/>
      <c r="S2" s="35"/>
      <c r="T2" s="35"/>
    </row>
    <row r="3" spans="1:23" ht="15" customHeight="1" x14ac:dyDescent="0.25">
      <c r="A3" s="64" t="s">
        <v>7</v>
      </c>
      <c r="B3" s="64">
        <v>16</v>
      </c>
      <c r="C3" s="64">
        <v>24</v>
      </c>
      <c r="D3" s="64">
        <v>10000</v>
      </c>
      <c r="E3" s="64" t="s">
        <v>8</v>
      </c>
      <c r="F3" s="64"/>
      <c r="G3" s="64">
        <v>20</v>
      </c>
      <c r="H3" s="34"/>
      <c r="I3" s="34"/>
      <c r="J3" s="34"/>
      <c r="K3" s="34"/>
      <c r="L3" s="34"/>
      <c r="M3" s="34"/>
      <c r="N3" s="34"/>
      <c r="O3" s="34"/>
      <c r="P3" s="36"/>
      <c r="Q3" s="36"/>
      <c r="R3" s="37"/>
      <c r="S3" s="34"/>
      <c r="T3" s="34"/>
      <c r="W3" s="32"/>
    </row>
    <row r="4" spans="1:23" s="71" customFormat="1" ht="21.75" customHeight="1" x14ac:dyDescent="0.25">
      <c r="A4" s="65"/>
      <c r="B4" s="65"/>
      <c r="C4" s="65"/>
      <c r="D4" s="65"/>
      <c r="E4" s="65"/>
      <c r="F4" s="65"/>
      <c r="G4" s="65"/>
      <c r="H4" s="65"/>
      <c r="I4" s="66" t="s">
        <v>91</v>
      </c>
      <c r="J4" s="67"/>
      <c r="K4" s="67"/>
      <c r="L4" s="68" t="s">
        <v>90</v>
      </c>
      <c r="M4" s="65"/>
      <c r="N4" s="65"/>
      <c r="O4" s="65"/>
      <c r="P4" s="69"/>
      <c r="Q4" s="69"/>
      <c r="R4" s="70"/>
      <c r="S4" s="65"/>
      <c r="T4" s="65"/>
      <c r="W4" s="72"/>
    </row>
    <row r="5" spans="1:23" ht="15" customHeight="1" x14ac:dyDescent="0.25">
      <c r="A5" s="34"/>
      <c r="B5" s="38" t="s">
        <v>9</v>
      </c>
      <c r="C5" s="34"/>
      <c r="D5" s="34"/>
      <c r="E5" s="34"/>
      <c r="F5" s="34"/>
      <c r="G5" s="34"/>
      <c r="H5" s="34"/>
      <c r="I5" s="34"/>
      <c r="J5" s="34"/>
      <c r="K5" s="34"/>
      <c r="L5" s="34"/>
      <c r="M5" s="34"/>
      <c r="N5" s="34"/>
      <c r="O5" s="34"/>
      <c r="P5" s="36"/>
      <c r="Q5" s="36"/>
      <c r="R5" s="37"/>
      <c r="S5" s="34"/>
      <c r="T5" s="34"/>
      <c r="W5" s="32"/>
    </row>
    <row r="6" spans="1:23" s="6" customFormat="1" ht="60" x14ac:dyDescent="0.25">
      <c r="A6" s="39"/>
      <c r="B6" s="40" t="s">
        <v>10</v>
      </c>
      <c r="C6" s="41" t="s">
        <v>11</v>
      </c>
      <c r="D6" s="42" t="s">
        <v>12</v>
      </c>
      <c r="E6" s="42" t="s">
        <v>13</v>
      </c>
      <c r="F6" s="40" t="s">
        <v>75</v>
      </c>
      <c r="G6" s="43" t="s">
        <v>14</v>
      </c>
      <c r="H6" s="43" t="s">
        <v>15</v>
      </c>
      <c r="I6" s="44"/>
      <c r="J6" s="40" t="s">
        <v>16</v>
      </c>
      <c r="K6" s="40" t="s">
        <v>76</v>
      </c>
      <c r="L6" s="43" t="s">
        <v>93</v>
      </c>
      <c r="M6" s="44"/>
      <c r="N6" s="44"/>
      <c r="O6" s="44"/>
      <c r="P6" s="45"/>
      <c r="Q6" s="45"/>
      <c r="R6" s="46"/>
      <c r="S6" s="44"/>
      <c r="T6" s="44"/>
    </row>
    <row r="7" spans="1:23" ht="23.25" customHeight="1" x14ac:dyDescent="0.25">
      <c r="A7" s="34"/>
      <c r="B7" s="61">
        <v>8</v>
      </c>
      <c r="C7" s="62">
        <v>9</v>
      </c>
      <c r="D7" s="47">
        <f>H79</f>
        <v>12.455924985375308</v>
      </c>
      <c r="E7" s="47">
        <f>J79</f>
        <v>67.961525495631122</v>
      </c>
      <c r="F7" s="61">
        <v>2500</v>
      </c>
      <c r="G7" s="47">
        <f>IF(C8&gt;11,D7/(B27+C27*LOG10(C7+D27)),F7/H7)</f>
        <v>0.83333333333333337</v>
      </c>
      <c r="H7" s="48">
        <f>VLOOKUP(C8,B31:C42,2)</f>
        <v>3000</v>
      </c>
      <c r="I7" s="34"/>
      <c r="J7" s="61">
        <v>16</v>
      </c>
      <c r="K7" s="61">
        <v>1200</v>
      </c>
      <c r="L7" s="47">
        <f>SQRT(10000/(F7-F18))</f>
        <v>2.5</v>
      </c>
      <c r="M7" s="34"/>
      <c r="N7" s="34"/>
      <c r="O7" s="34"/>
      <c r="P7" s="36"/>
      <c r="Q7" s="36"/>
      <c r="R7" s="37"/>
      <c r="S7" s="34"/>
      <c r="T7" s="34"/>
      <c r="V7" s="60"/>
    </row>
    <row r="8" spans="1:23" ht="23.25" customHeight="1" x14ac:dyDescent="0.25">
      <c r="A8" s="34"/>
      <c r="B8" s="34"/>
      <c r="C8" s="49">
        <f>ROUND(C7,0)</f>
        <v>9</v>
      </c>
      <c r="D8" s="34"/>
      <c r="E8" s="34"/>
      <c r="F8" s="34"/>
      <c r="G8" s="47">
        <f>ROUND(G7,1)</f>
        <v>0.8</v>
      </c>
      <c r="H8" s="34"/>
      <c r="I8" s="34"/>
      <c r="J8" s="34"/>
      <c r="K8" s="34"/>
      <c r="L8" s="34"/>
      <c r="M8" s="34"/>
      <c r="N8" s="34"/>
      <c r="O8" s="34"/>
      <c r="P8" s="36"/>
      <c r="Q8" s="36"/>
      <c r="R8" s="37"/>
      <c r="S8" s="34"/>
      <c r="T8" s="34"/>
      <c r="U8" s="60"/>
      <c r="V8" s="60"/>
    </row>
    <row r="9" spans="1:23" s="7" customFormat="1" ht="71.25" customHeight="1" x14ac:dyDescent="0.25">
      <c r="A9" s="50"/>
      <c r="B9" s="51">
        <f>IF(B7&lt;6,"D mazāks par Dmin",IF(B7&gt;16,"D lielāks par Dmax",0))</f>
        <v>0</v>
      </c>
      <c r="C9" s="51" t="str">
        <f>IF(C7&lt;6,"H mazāks par Hmin",IF(C7&gt;24,"H lielāks par Hmax","0"))</f>
        <v>0</v>
      </c>
      <c r="D9" s="50"/>
      <c r="E9" s="50"/>
      <c r="F9" s="51" t="str">
        <f>IF(F7&lt;1000,"N mazāks par Nmin","0")</f>
        <v>0</v>
      </c>
      <c r="G9" s="51" t="str">
        <f>IF(G7&lt;0.6,"nav jākopj","0")</f>
        <v>0</v>
      </c>
      <c r="H9" s="50"/>
      <c r="I9" s="50"/>
      <c r="J9" s="51" t="str">
        <f>IF(J7&gt;20,"Treil.ceļi% nedrīkst būt vairāk par 20!","0")</f>
        <v>0</v>
      </c>
      <c r="K9" s="51" t="str">
        <f>IF(G14&lt;0.4,"Palikušās audzes biezība mazāka par 0.4","0")</f>
        <v>0</v>
      </c>
      <c r="L9" s="50"/>
      <c r="M9" s="50"/>
      <c r="N9" s="74" t="s">
        <v>94</v>
      </c>
      <c r="O9" s="74"/>
      <c r="P9" s="74"/>
      <c r="Q9" s="74"/>
      <c r="R9" s="74"/>
      <c r="S9" s="74"/>
      <c r="T9" s="74"/>
      <c r="U9" s="74"/>
      <c r="V9" s="60"/>
    </row>
    <row r="10" spans="1:23" ht="21" x14ac:dyDescent="0.25">
      <c r="A10" s="34"/>
      <c r="B10" s="34"/>
      <c r="C10" s="34"/>
      <c r="D10" s="34"/>
      <c r="E10" s="34"/>
      <c r="F10" s="34"/>
      <c r="G10" s="34"/>
      <c r="H10" s="34"/>
      <c r="I10" s="34"/>
      <c r="J10" s="34"/>
      <c r="K10" s="34"/>
      <c r="L10" s="34"/>
      <c r="M10" s="34"/>
      <c r="N10" s="34"/>
      <c r="O10" s="34"/>
      <c r="P10" s="36"/>
      <c r="Q10" s="36"/>
      <c r="R10" s="37"/>
      <c r="S10" s="34"/>
      <c r="T10" s="34"/>
      <c r="U10" s="60"/>
      <c r="V10" s="60"/>
    </row>
    <row r="11" spans="1:23" ht="21" x14ac:dyDescent="0.25">
      <c r="A11" s="34"/>
      <c r="B11" s="38" t="s">
        <v>17</v>
      </c>
      <c r="C11" s="34"/>
      <c r="D11" s="34"/>
      <c r="E11" s="34"/>
      <c r="F11" s="34"/>
      <c r="G11" s="34"/>
      <c r="H11" s="34"/>
      <c r="I11" s="34"/>
      <c r="J11" s="38" t="s">
        <v>18</v>
      </c>
      <c r="K11" s="34"/>
      <c r="L11" s="34"/>
      <c r="M11" s="34"/>
      <c r="N11" s="34"/>
      <c r="O11" s="34"/>
      <c r="P11" s="36"/>
      <c r="Q11" s="36"/>
      <c r="R11" s="37"/>
      <c r="S11" s="34"/>
      <c r="T11" s="34"/>
      <c r="U11" s="60"/>
      <c r="V11" s="60"/>
    </row>
    <row r="12" spans="1:23" ht="47.25" x14ac:dyDescent="0.25">
      <c r="A12" s="34"/>
      <c r="B12" s="43" t="s">
        <v>10</v>
      </c>
      <c r="C12" s="43" t="s">
        <v>11</v>
      </c>
      <c r="D12" s="43" t="s">
        <v>12</v>
      </c>
      <c r="E12" s="43" t="s">
        <v>13</v>
      </c>
      <c r="F12" s="43" t="s">
        <v>19</v>
      </c>
      <c r="G12" s="43" t="s">
        <v>14</v>
      </c>
      <c r="H12" s="43" t="s">
        <v>15</v>
      </c>
      <c r="I12" s="34"/>
      <c r="J12" s="52" t="s">
        <v>20</v>
      </c>
      <c r="K12" s="52" t="s">
        <v>21</v>
      </c>
      <c r="L12" s="52" t="s">
        <v>22</v>
      </c>
      <c r="M12" s="34"/>
      <c r="N12" s="34"/>
      <c r="O12" s="34"/>
      <c r="P12" s="36"/>
      <c r="Q12" s="36"/>
      <c r="R12" s="37"/>
      <c r="S12" s="35"/>
      <c r="T12" s="35"/>
      <c r="U12" s="34"/>
      <c r="V12" s="35"/>
      <c r="W12" s="3"/>
    </row>
    <row r="13" spans="1:23" ht="18.75" x14ac:dyDescent="0.25">
      <c r="A13" s="34"/>
      <c r="B13" s="47">
        <f>B25*B7^C25*F7^D25*(F18/F7*100)^E25</f>
        <v>9.0701011148136992</v>
      </c>
      <c r="C13" s="47">
        <f>1.3+(C7-1.3)*EXP(B26*(1-B7/B13)+C26*(1/B7-1/B13))</f>
        <v>9.6515109315958529</v>
      </c>
      <c r="D13" s="53">
        <f>D7-D18-D19</f>
        <v>7.604189962481275</v>
      </c>
      <c r="E13" s="53">
        <f>E7-E18-E19</f>
        <v>42.729504617204938</v>
      </c>
      <c r="F13" s="48">
        <f>K7</f>
        <v>1200</v>
      </c>
      <c r="G13" s="47">
        <f>IF(C14&gt;11,D13/(B27+C27*LOG10(C13+D27)),F13/H13)</f>
        <v>0.4</v>
      </c>
      <c r="H13" s="48">
        <f>VLOOKUP(C14,B31:C42,2,FALSE)</f>
        <v>3000</v>
      </c>
      <c r="I13" s="34"/>
      <c r="J13" s="54">
        <f>(B28*C28+D28*B19^E28)/(C28+B19^E28)/100*E19</f>
        <v>5.2781162818252652</v>
      </c>
      <c r="K13" s="54">
        <f>(B29*C29+D29*B18^E29)/(C29+B18^E29)/100*E18</f>
        <v>4.177610407550878</v>
      </c>
      <c r="L13" s="63">
        <f>J13+K13</f>
        <v>9.4557266893761422</v>
      </c>
      <c r="M13" s="73" t="str">
        <f>IF(B9&gt;0,"kļūda","")</f>
        <v/>
      </c>
      <c r="O13" s="34"/>
      <c r="P13" s="36"/>
      <c r="Q13" s="36"/>
      <c r="R13" s="55"/>
      <c r="S13" s="36"/>
      <c r="T13" s="36"/>
      <c r="U13" s="34"/>
      <c r="V13" s="37"/>
      <c r="W13" s="5"/>
    </row>
    <row r="14" spans="1:23" x14ac:dyDescent="0.25">
      <c r="A14" s="34"/>
      <c r="B14" s="34"/>
      <c r="C14" s="49">
        <f>ROUND(C13,0)</f>
        <v>10</v>
      </c>
      <c r="D14" s="34"/>
      <c r="E14" s="34"/>
      <c r="F14" s="34"/>
      <c r="G14" s="47">
        <f>ROUND(G13,1)</f>
        <v>0.4</v>
      </c>
      <c r="H14" s="34"/>
      <c r="I14" s="34"/>
      <c r="J14" s="35"/>
      <c r="K14" s="34"/>
      <c r="L14" s="56">
        <f>L13/E7</f>
        <v>0.13913352621821298</v>
      </c>
      <c r="M14" s="58" t="s">
        <v>87</v>
      </c>
      <c r="N14" s="34"/>
      <c r="O14" s="34"/>
      <c r="P14" s="36"/>
      <c r="Q14" s="36"/>
      <c r="R14" s="55"/>
      <c r="S14" s="36"/>
      <c r="T14" s="36"/>
      <c r="U14" s="34"/>
      <c r="V14" s="37"/>
      <c r="W14" s="5"/>
    </row>
    <row r="15" spans="1:23" x14ac:dyDescent="0.25">
      <c r="A15" s="34"/>
      <c r="B15" s="34"/>
      <c r="C15" s="34"/>
      <c r="D15" s="34"/>
      <c r="E15" s="34"/>
      <c r="F15" s="34"/>
      <c r="G15" s="34"/>
      <c r="H15" s="34"/>
      <c r="I15" s="34"/>
      <c r="J15" s="34"/>
      <c r="K15" s="34"/>
      <c r="L15" s="34"/>
      <c r="M15" s="34"/>
      <c r="N15" s="34"/>
      <c r="O15" s="34"/>
      <c r="P15" s="36"/>
      <c r="Q15" s="36"/>
      <c r="R15" s="55"/>
      <c r="S15" s="36"/>
      <c r="T15" s="36"/>
      <c r="U15" s="34"/>
      <c r="V15" s="37"/>
      <c r="W15" s="5"/>
    </row>
    <row r="16" spans="1:23" x14ac:dyDescent="0.25">
      <c r="A16" s="34"/>
      <c r="B16" s="38" t="s">
        <v>23</v>
      </c>
      <c r="C16" s="34"/>
      <c r="D16" s="34"/>
      <c r="E16" s="34"/>
      <c r="F16" s="34"/>
      <c r="G16" s="34"/>
      <c r="H16" s="34"/>
      <c r="I16" s="34"/>
      <c r="J16" s="34"/>
      <c r="K16" s="34"/>
      <c r="L16" s="34"/>
      <c r="M16" s="34"/>
      <c r="N16" s="34"/>
      <c r="O16" s="34"/>
      <c r="P16" s="36"/>
      <c r="Q16" s="36"/>
      <c r="R16" s="55"/>
      <c r="S16" s="36"/>
      <c r="T16" s="36"/>
      <c r="U16" s="34"/>
      <c r="V16" s="37"/>
      <c r="W16" s="5"/>
    </row>
    <row r="17" spans="1:23" ht="32.25" x14ac:dyDescent="0.25">
      <c r="A17" s="44"/>
      <c r="B17" s="43" t="s">
        <v>10</v>
      </c>
      <c r="C17" s="43" t="s">
        <v>11</v>
      </c>
      <c r="D17" s="43" t="s">
        <v>12</v>
      </c>
      <c r="E17" s="43" t="s">
        <v>13</v>
      </c>
      <c r="F17" s="43" t="s">
        <v>19</v>
      </c>
      <c r="G17" s="34"/>
      <c r="I17" s="34"/>
      <c r="J17" s="34"/>
      <c r="K17" s="34"/>
      <c r="L17" s="34"/>
      <c r="M17" s="34"/>
      <c r="N17" s="34"/>
      <c r="O17" s="34"/>
      <c r="P17" s="36"/>
      <c r="Q17" s="36"/>
      <c r="R17" s="55"/>
      <c r="S17" s="36"/>
      <c r="T17" s="36"/>
      <c r="U17" s="34"/>
      <c r="V17" s="37"/>
      <c r="W17" s="5"/>
    </row>
    <row r="18" spans="1:23" x14ac:dyDescent="0.25">
      <c r="A18" s="57" t="s">
        <v>24</v>
      </c>
      <c r="B18" s="47">
        <f>B24*B7^C24*F7^D24*(F18/F7*100)^E24</f>
        <v>6.3866826823907878</v>
      </c>
      <c r="C18" s="47">
        <f>1.3+(C7-1.3)*EXP(B26*(1-B7/B18)+C26*(1/B7-1/B18))</f>
        <v>7.7709159850623184</v>
      </c>
      <c r="D18" s="47">
        <f>I79</f>
        <v>2.8587870252339833</v>
      </c>
      <c r="E18" s="47">
        <f>K79</f>
        <v>14.358176799125204</v>
      </c>
      <c r="F18" s="48">
        <f>F7-F19-K7</f>
        <v>900</v>
      </c>
      <c r="G18" s="34"/>
      <c r="H18" s="34"/>
      <c r="I18" s="34"/>
      <c r="J18" s="34"/>
      <c r="K18" s="34"/>
      <c r="L18" s="34"/>
      <c r="M18" s="34"/>
      <c r="N18" s="34"/>
      <c r="O18" s="34"/>
      <c r="P18" s="36"/>
      <c r="Q18" s="36"/>
      <c r="R18" s="55"/>
      <c r="S18" s="36"/>
      <c r="T18" s="36"/>
      <c r="U18" s="34"/>
      <c r="V18" s="37"/>
      <c r="W18" s="5"/>
    </row>
    <row r="19" spans="1:23" x14ac:dyDescent="0.25">
      <c r="A19" s="57" t="s">
        <v>82</v>
      </c>
      <c r="B19" s="47">
        <f>B7</f>
        <v>8</v>
      </c>
      <c r="C19" s="47">
        <f>C7</f>
        <v>9</v>
      </c>
      <c r="D19" s="47">
        <f>J7%*D7</f>
        <v>1.9929479976600493</v>
      </c>
      <c r="E19" s="47">
        <f>J7%*E7</f>
        <v>10.87384407930098</v>
      </c>
      <c r="F19" s="48">
        <f>J7%*F7</f>
        <v>400</v>
      </c>
      <c r="G19" s="34"/>
      <c r="H19" s="34"/>
      <c r="I19" s="34"/>
      <c r="J19" s="34"/>
      <c r="K19" s="34"/>
      <c r="L19" s="34"/>
      <c r="M19" s="34"/>
      <c r="N19" s="34"/>
      <c r="O19" s="34"/>
      <c r="P19" s="36"/>
      <c r="Q19" s="36"/>
      <c r="R19" s="37"/>
      <c r="S19" s="34"/>
      <c r="T19" s="34"/>
      <c r="U19" s="34"/>
      <c r="V19" s="34"/>
    </row>
    <row r="20" spans="1:23" x14ac:dyDescent="0.25">
      <c r="P20" s="4"/>
      <c r="Q20" s="4"/>
      <c r="R20" s="5"/>
    </row>
    <row r="21" spans="1:23" x14ac:dyDescent="0.25">
      <c r="P21" s="4"/>
      <c r="Q21" s="4"/>
      <c r="R21" s="5"/>
    </row>
    <row r="22" spans="1:23" x14ac:dyDescent="0.25">
      <c r="P22" s="4"/>
      <c r="Q22" s="4"/>
      <c r="R22" s="5"/>
    </row>
    <row r="23" spans="1:23" x14ac:dyDescent="0.25">
      <c r="A23" s="9" t="s">
        <v>26</v>
      </c>
      <c r="B23" s="10" t="s">
        <v>27</v>
      </c>
      <c r="C23" s="10" t="s">
        <v>28</v>
      </c>
      <c r="D23" s="10" t="s">
        <v>29</v>
      </c>
      <c r="E23" s="10" t="s">
        <v>30</v>
      </c>
      <c r="F23" s="81" t="s">
        <v>31</v>
      </c>
      <c r="G23" s="82"/>
      <c r="H23" s="82"/>
      <c r="I23" s="82"/>
      <c r="J23" s="82"/>
      <c r="K23" s="83"/>
      <c r="P23" s="4"/>
      <c r="Q23" s="4"/>
      <c r="R23" s="5"/>
    </row>
    <row r="24" spans="1:23" x14ac:dyDescent="0.25">
      <c r="A24" s="9" t="s">
        <v>32</v>
      </c>
      <c r="B24" s="11">
        <v>1.0132239999999999</v>
      </c>
      <c r="C24" s="11">
        <v>0.95796199999999998</v>
      </c>
      <c r="D24" s="11">
        <v>-0.11219999999999999</v>
      </c>
      <c r="E24" s="11">
        <v>0.202848</v>
      </c>
      <c r="F24" s="84" t="s">
        <v>33</v>
      </c>
      <c r="G24" s="85"/>
      <c r="H24" s="85"/>
      <c r="I24" s="85"/>
      <c r="J24" s="85"/>
      <c r="K24" s="86"/>
      <c r="P24" s="4"/>
      <c r="Q24" s="4"/>
      <c r="R24" s="5"/>
    </row>
    <row r="25" spans="1:23" x14ac:dyDescent="0.25">
      <c r="A25" s="9" t="s">
        <v>34</v>
      </c>
      <c r="B25" s="11">
        <v>0.409441</v>
      </c>
      <c r="C25" s="11">
        <v>1.025034</v>
      </c>
      <c r="D25" s="11">
        <v>0.107097</v>
      </c>
      <c r="E25" s="11">
        <v>3.5862999999999999E-2</v>
      </c>
      <c r="F25" s="75" t="s">
        <v>33</v>
      </c>
      <c r="G25" s="76"/>
      <c r="H25" s="76"/>
      <c r="I25" s="76"/>
      <c r="J25" s="76"/>
      <c r="K25" s="77"/>
      <c r="P25" s="4"/>
      <c r="Q25" s="4"/>
      <c r="R25" s="5"/>
    </row>
    <row r="26" spans="1:23" x14ac:dyDescent="0.25">
      <c r="A26" s="9" t="s">
        <v>2</v>
      </c>
      <c r="B26" s="11">
        <v>0.14960699999999999</v>
      </c>
      <c r="C26" s="11">
        <v>4.3106090000000004</v>
      </c>
      <c r="D26" s="11"/>
      <c r="E26" s="11"/>
      <c r="F26" s="75" t="s">
        <v>35</v>
      </c>
      <c r="G26" s="76"/>
      <c r="H26" s="76"/>
      <c r="I26" s="76"/>
      <c r="J26" s="76"/>
      <c r="K26" s="77"/>
      <c r="P26" s="4"/>
      <c r="Q26" s="4"/>
      <c r="R26" s="5"/>
    </row>
    <row r="27" spans="1:23" x14ac:dyDescent="0.25">
      <c r="A27" s="9" t="s">
        <v>14</v>
      </c>
      <c r="B27" s="11">
        <v>-143.91999999999999</v>
      </c>
      <c r="C27" s="11">
        <v>99.88</v>
      </c>
      <c r="D27" s="11">
        <v>30</v>
      </c>
      <c r="E27" s="11"/>
      <c r="F27" s="75"/>
      <c r="G27" s="76"/>
      <c r="H27" s="76"/>
      <c r="I27" s="76"/>
      <c r="J27" s="76"/>
      <c r="K27" s="77"/>
    </row>
    <row r="28" spans="1:23" x14ac:dyDescent="0.25">
      <c r="A28" s="9" t="s">
        <v>36</v>
      </c>
      <c r="B28" s="11">
        <v>-8.4845989999999993</v>
      </c>
      <c r="C28" s="11">
        <v>785.25807499999996</v>
      </c>
      <c r="D28" s="11">
        <v>85.429040000000001</v>
      </c>
      <c r="E28" s="11">
        <v>3.4151289999999999</v>
      </c>
      <c r="F28" s="75" t="s">
        <v>37</v>
      </c>
      <c r="G28" s="76"/>
      <c r="H28" s="76"/>
      <c r="I28" s="76"/>
      <c r="J28" s="76"/>
      <c r="K28" s="77"/>
    </row>
    <row r="29" spans="1:23" x14ac:dyDescent="0.25">
      <c r="A29" s="9" t="s">
        <v>38</v>
      </c>
      <c r="B29" s="11">
        <v>-9.922129</v>
      </c>
      <c r="C29" s="11">
        <v>1218.1039390000001</v>
      </c>
      <c r="D29" s="11">
        <v>84.221057000000002</v>
      </c>
      <c r="E29" s="11">
        <v>3.6454559999999998</v>
      </c>
      <c r="F29" s="75" t="s">
        <v>37</v>
      </c>
      <c r="G29" s="76"/>
      <c r="H29" s="76"/>
      <c r="I29" s="76"/>
      <c r="J29" s="76"/>
      <c r="K29" s="77"/>
    </row>
    <row r="31" spans="1:23" ht="36" x14ac:dyDescent="0.25">
      <c r="B31" s="12" t="s">
        <v>2</v>
      </c>
      <c r="C31" s="12" t="s">
        <v>39</v>
      </c>
      <c r="E31" s="13" t="s">
        <v>40</v>
      </c>
      <c r="F31" s="13" t="s">
        <v>41</v>
      </c>
      <c r="G31" s="13" t="s">
        <v>42</v>
      </c>
      <c r="H31" s="13" t="s">
        <v>43</v>
      </c>
      <c r="I31" s="13" t="s">
        <v>41</v>
      </c>
      <c r="J31" s="13" t="s">
        <v>44</v>
      </c>
    </row>
    <row r="32" spans="1:23" x14ac:dyDescent="0.25">
      <c r="B32" s="1">
        <v>1</v>
      </c>
      <c r="C32" s="1">
        <v>3200</v>
      </c>
      <c r="E32" s="78" t="s">
        <v>45</v>
      </c>
      <c r="F32" s="14" t="s">
        <v>46</v>
      </c>
      <c r="G32" s="15">
        <v>0.32147462428907891</v>
      </c>
      <c r="H32" s="78" t="s">
        <v>45</v>
      </c>
      <c r="I32" s="14" t="s">
        <v>46</v>
      </c>
      <c r="J32" s="15">
        <v>-2.2428063350601821</v>
      </c>
    </row>
    <row r="33" spans="1:24" x14ac:dyDescent="0.25">
      <c r="B33" s="1">
        <v>2</v>
      </c>
      <c r="C33" s="1">
        <v>3200</v>
      </c>
      <c r="E33" s="78"/>
      <c r="F33" s="16" t="s">
        <v>47</v>
      </c>
      <c r="G33" s="15">
        <v>0.69627919568066854</v>
      </c>
      <c r="H33" s="78"/>
      <c r="I33" s="16" t="s">
        <v>1</v>
      </c>
      <c r="J33" s="15">
        <v>0.19414176583331358</v>
      </c>
    </row>
    <row r="34" spans="1:24" ht="17.25" x14ac:dyDescent="0.25">
      <c r="B34" s="1">
        <v>3</v>
      </c>
      <c r="C34" s="1">
        <v>3200</v>
      </c>
      <c r="E34" s="78"/>
      <c r="F34" s="16" t="s">
        <v>48</v>
      </c>
      <c r="G34" s="15">
        <v>-3.2510841580468207E-2</v>
      </c>
      <c r="H34" s="78"/>
      <c r="I34" s="16" t="s">
        <v>49</v>
      </c>
      <c r="J34" s="15">
        <v>0.64340567598430987</v>
      </c>
    </row>
    <row r="35" spans="1:24" x14ac:dyDescent="0.25">
      <c r="B35" s="1">
        <v>4</v>
      </c>
      <c r="C35" s="1">
        <v>3200</v>
      </c>
      <c r="E35" s="78" t="s">
        <v>47</v>
      </c>
      <c r="F35" s="14" t="s">
        <v>46</v>
      </c>
      <c r="G35" s="15">
        <v>-2.5968972455413519E-2</v>
      </c>
      <c r="H35" s="78" t="s">
        <v>47</v>
      </c>
      <c r="I35" s="14" t="s">
        <v>46</v>
      </c>
      <c r="J35" s="15">
        <v>-0.34657729630435624</v>
      </c>
    </row>
    <row r="36" spans="1:24" x14ac:dyDescent="0.25">
      <c r="B36" s="1">
        <v>5</v>
      </c>
      <c r="C36" s="1">
        <v>3200</v>
      </c>
      <c r="E36" s="78"/>
      <c r="F36" s="14" t="s">
        <v>1</v>
      </c>
      <c r="G36" s="15">
        <v>1.0663892893637876</v>
      </c>
      <c r="H36" s="78"/>
      <c r="I36" s="14" t="s">
        <v>1</v>
      </c>
      <c r="J36" s="15">
        <v>1.0767117737766301</v>
      </c>
    </row>
    <row r="37" spans="1:24" x14ac:dyDescent="0.25">
      <c r="B37" s="1">
        <v>6</v>
      </c>
      <c r="C37" s="1">
        <v>3200</v>
      </c>
      <c r="E37" s="78"/>
      <c r="F37" s="14" t="s">
        <v>3</v>
      </c>
      <c r="G37" s="15">
        <v>-2.7872209465424366E-5</v>
      </c>
      <c r="H37" s="78"/>
      <c r="I37" s="14" t="s">
        <v>3</v>
      </c>
      <c r="J37" s="15">
        <v>8.4058313003658325E-5</v>
      </c>
    </row>
    <row r="38" spans="1:24" x14ac:dyDescent="0.25">
      <c r="B38" s="1">
        <v>7</v>
      </c>
      <c r="C38" s="1">
        <v>3200</v>
      </c>
    </row>
    <row r="39" spans="1:24" x14ac:dyDescent="0.25">
      <c r="B39" s="1">
        <v>8</v>
      </c>
      <c r="C39" s="1">
        <v>3000</v>
      </c>
      <c r="E39" s="17" t="s">
        <v>50</v>
      </c>
      <c r="F39" s="17" t="s">
        <v>51</v>
      </c>
      <c r="G39" s="17" t="s">
        <v>52</v>
      </c>
      <c r="H39" s="17" t="s">
        <v>53</v>
      </c>
      <c r="I39" s="17" t="s">
        <v>54</v>
      </c>
      <c r="J39" s="17" t="s">
        <v>55</v>
      </c>
      <c r="K39" s="17" t="s">
        <v>56</v>
      </c>
      <c r="L39" s="17" t="s">
        <v>57</v>
      </c>
    </row>
    <row r="40" spans="1:24" x14ac:dyDescent="0.25">
      <c r="B40" s="1">
        <v>9</v>
      </c>
      <c r="C40" s="1">
        <v>3000</v>
      </c>
      <c r="E40" s="18">
        <v>5028.5</v>
      </c>
      <c r="F40" s="18">
        <v>120.56699999999999</v>
      </c>
      <c r="G40" s="18">
        <v>-312.07400000000001</v>
      </c>
      <c r="H40" s="18">
        <v>1388.288</v>
      </c>
      <c r="I40" s="18">
        <v>-3725.819</v>
      </c>
      <c r="J40" s="18">
        <v>5197.0050000000001</v>
      </c>
      <c r="K40" s="18">
        <v>-3788.8580000000002</v>
      </c>
      <c r="L40" s="18">
        <v>1120.8910000000001</v>
      </c>
    </row>
    <row r="41" spans="1:24" x14ac:dyDescent="0.25">
      <c r="B41" s="1">
        <v>10</v>
      </c>
      <c r="C41" s="1">
        <v>3000</v>
      </c>
    </row>
    <row r="42" spans="1:24" x14ac:dyDescent="0.25">
      <c r="B42" s="1">
        <v>11</v>
      </c>
      <c r="C42" s="1">
        <v>2600</v>
      </c>
    </row>
    <row r="44" spans="1:24" x14ac:dyDescent="0.25">
      <c r="D44" s="19" t="s">
        <v>45</v>
      </c>
      <c r="E44" s="8">
        <f>G32+G33*E45+G34*E45^2</f>
        <v>3.8815371604004212</v>
      </c>
      <c r="F44" s="8">
        <f>J32+J33*B18+J34*LN(F18)</f>
        <v>3.3738149197250173</v>
      </c>
    </row>
    <row r="45" spans="1:24" x14ac:dyDescent="0.25">
      <c r="D45" s="19" t="s">
        <v>47</v>
      </c>
      <c r="E45" s="8">
        <f>G35+G36*B7+G37*F7</f>
        <v>8.4354648187913277</v>
      </c>
      <c r="F45" s="8">
        <f>J35+J36*B18+J37*F18</f>
        <v>6.6056916249044066</v>
      </c>
    </row>
    <row r="46" spans="1:24" s="6" customFormat="1" ht="45" x14ac:dyDescent="0.25">
      <c r="A46" s="20" t="s">
        <v>58</v>
      </c>
      <c r="B46" s="12" t="s">
        <v>59</v>
      </c>
      <c r="C46" s="21" t="s">
        <v>2</v>
      </c>
      <c r="D46" s="21" t="s">
        <v>60</v>
      </c>
      <c r="E46" s="21" t="s">
        <v>61</v>
      </c>
      <c r="F46" s="21" t="s">
        <v>62</v>
      </c>
      <c r="G46" s="21" t="s">
        <v>63</v>
      </c>
      <c r="H46" s="21" t="s">
        <v>64</v>
      </c>
      <c r="I46" s="21" t="s">
        <v>65</v>
      </c>
      <c r="J46" s="21" t="s">
        <v>66</v>
      </c>
      <c r="K46" s="21" t="s">
        <v>67</v>
      </c>
      <c r="L46" s="22" t="s">
        <v>68</v>
      </c>
      <c r="M46" s="22" t="s">
        <v>62</v>
      </c>
      <c r="N46" s="23" t="s">
        <v>69</v>
      </c>
      <c r="O46" s="23" t="s">
        <v>70</v>
      </c>
      <c r="P46" s="23" t="s">
        <v>71</v>
      </c>
      <c r="Q46" s="23" t="s">
        <v>30</v>
      </c>
      <c r="R46" s="22" t="s">
        <v>72</v>
      </c>
      <c r="S46" s="20"/>
      <c r="U46" s="12" t="s">
        <v>59</v>
      </c>
      <c r="V46" s="21" t="s">
        <v>61</v>
      </c>
      <c r="W46" s="21" t="s">
        <v>73</v>
      </c>
      <c r="X46" s="21" t="s">
        <v>63</v>
      </c>
    </row>
    <row r="47" spans="1:24" x14ac:dyDescent="0.25">
      <c r="B47" s="1">
        <v>2</v>
      </c>
      <c r="C47" s="8">
        <f>1.3+($C$7-1.3)*EXP($B$26*(1-$B$7/B47)+$C$26*(1/$B$7-1/B47))</f>
        <v>2.2762085411906412</v>
      </c>
      <c r="D47" s="24">
        <f t="shared" ref="D47:D78" si="0">(PI()*B47^2*C47*$E$40)/(4*10^4*($F$40+$G$40*1.3/C47+$H$40*1.3/C47^2+$I$40*1.3/C47^3+$J$40*1.3/C47^4+$K$40*1.3/C47^5+$L$40*1.3/C47^6)^2)</f>
        <v>9.5033554237690528E-4</v>
      </c>
      <c r="E47" s="25">
        <f>(1-EXP(-((($B47+1)/E$45)^E$44)))*$F$7</f>
        <v>44.797818067657261</v>
      </c>
      <c r="F47" s="25">
        <f t="shared" ref="F47:F78" si="1">R47</f>
        <v>37.630167176832096</v>
      </c>
      <c r="G47" s="25">
        <f>E47-F47</f>
        <v>7.1676508908251648</v>
      </c>
      <c r="H47" s="8">
        <f t="shared" ref="H47:H78" si="2">B47^2*PI()/4*E47/10000</f>
        <v>1.4073649613820415E-2</v>
      </c>
      <c r="I47" s="8">
        <f t="shared" ref="I47:I78" si="3">B47^2*PI()/4*F47/10000</f>
        <v>1.1821865675609148E-2</v>
      </c>
      <c r="J47" s="8">
        <f t="shared" ref="J47:J78" si="4">E47*D47</f>
        <v>4.2572958730628989E-2</v>
      </c>
      <c r="K47" s="8">
        <f t="shared" ref="K47:K78" si="5">F47*D47</f>
        <v>3.5761285333728347E-2</v>
      </c>
      <c r="L47" s="26">
        <f>E47*(1-$J$7%)</f>
        <v>37.630167176832096</v>
      </c>
      <c r="M47" s="26">
        <f>(1-EXP(-((($B47+1)/F$45)^F$44)))*$F$18</f>
        <v>60.625235556716518</v>
      </c>
      <c r="N47" s="27">
        <f>IF(M47&gt;L47,M47-L47,0)</f>
        <v>22.995068379884422</v>
      </c>
      <c r="O47" s="27">
        <f>IF(N47=0,L47-M47,0)</f>
        <v>0</v>
      </c>
      <c r="P47" s="27">
        <f>IF($N$79=0,0,IF(N47&gt;0,0,IF(O47&gt;Q47,0.9*Q47,O47)))</f>
        <v>0</v>
      </c>
      <c r="Q47" s="27">
        <f>N79</f>
        <v>32.686144141384311</v>
      </c>
      <c r="R47" s="26">
        <f>P47+M47-N47</f>
        <v>37.630167176832096</v>
      </c>
      <c r="S47" s="5"/>
      <c r="U47" s="1">
        <v>2</v>
      </c>
      <c r="V47" s="25">
        <f>E47</f>
        <v>44.797818067657261</v>
      </c>
      <c r="W47" s="25">
        <f t="shared" ref="W47:W78" si="6">$J$7%*V47+F47</f>
        <v>44.797818067657261</v>
      </c>
      <c r="X47" s="28">
        <f>V47-W47</f>
        <v>0</v>
      </c>
    </row>
    <row r="48" spans="1:24" x14ac:dyDescent="0.25">
      <c r="B48" s="1">
        <v>4</v>
      </c>
      <c r="C48" s="8">
        <f t="shared" ref="C48:C78" si="7">1.3+($C$7-1.3)*EXP($B$26*(1-$B$7/B48)+$C$26*(1/$B$7-1/B48))</f>
        <v>5.1681919591699765</v>
      </c>
      <c r="D48" s="24">
        <f t="shared" si="0"/>
        <v>4.7680789985475635E-3</v>
      </c>
      <c r="E48" s="25">
        <f>(1-EXP(-((($B48+1)/E$45)^E$44)))*$F$7-(1-EXP(-((($B47+1)/E$45)^E$44)))*$F$7</f>
        <v>262.87306544447608</v>
      </c>
      <c r="F48" s="25">
        <f t="shared" si="1"/>
        <v>220.81337497335991</v>
      </c>
      <c r="G48" s="25">
        <f t="shared" ref="G48:G78" si="8">E48-F48</f>
        <v>42.05969047111617</v>
      </c>
      <c r="H48" s="8">
        <f t="shared" si="2"/>
        <v>0.33033603649079801</v>
      </c>
      <c r="I48" s="8">
        <f t="shared" si="3"/>
        <v>0.27748227065227032</v>
      </c>
      <c r="J48" s="8">
        <f t="shared" si="4"/>
        <v>1.2533995426296256</v>
      </c>
      <c r="K48" s="8">
        <f t="shared" si="5"/>
        <v>1.0528556158088855</v>
      </c>
      <c r="L48" s="26">
        <f t="shared" ref="L48:L78" si="9">E48*(1-$J$7%)</f>
        <v>220.81337497335991</v>
      </c>
      <c r="M48" s="26">
        <f t="shared" ref="M48:M78" si="10">(1-EXP(-((($B48+1)/F$45)^F$44)))*$F$18-(1-EXP(-((($B47+1)/F$45)^F$44)))*$F$18</f>
        <v>230.5044507348598</v>
      </c>
      <c r="N48" s="27">
        <f t="shared" ref="N48:N78" si="11">IF(M48&gt;L48,M48-L48,0)</f>
        <v>9.6910757614998886</v>
      </c>
      <c r="O48" s="27">
        <f t="shared" ref="O48:O78" si="12">IF(N48=0,L48-M48,0)</f>
        <v>0</v>
      </c>
      <c r="P48" s="27">
        <f t="shared" ref="P48:P78" si="13">IF($N$79=0,0,IF(N48&gt;0,0,IF(O48&gt;Q48,0.9*Q48,O48)))</f>
        <v>0</v>
      </c>
      <c r="Q48" s="27">
        <f>Q47-P47</f>
        <v>32.686144141384311</v>
      </c>
      <c r="R48" s="26">
        <f t="shared" ref="R48:R78" si="14">P48+M48-N48</f>
        <v>220.81337497335991</v>
      </c>
      <c r="S48" s="5"/>
      <c r="U48" s="1">
        <v>4</v>
      </c>
      <c r="V48" s="25">
        <f t="shared" ref="V48:V78" si="15">E48</f>
        <v>262.87306544447608</v>
      </c>
      <c r="W48" s="25">
        <f t="shared" si="6"/>
        <v>262.87306544447608</v>
      </c>
      <c r="X48" s="28">
        <f t="shared" ref="X48:X78" si="16">V48-W48</f>
        <v>0</v>
      </c>
    </row>
    <row r="49" spans="2:24" x14ac:dyDescent="0.25">
      <c r="B49" s="1">
        <v>6</v>
      </c>
      <c r="C49" s="8">
        <f t="shared" si="7"/>
        <v>7.4211049066207515</v>
      </c>
      <c r="D49" s="24">
        <f t="shared" si="0"/>
        <v>1.3369661371644198E-2</v>
      </c>
      <c r="E49" s="25">
        <f t="shared" ref="E49:E78" si="17">(1-EXP(-((($B49+1)/E$45)^E$44)))*$F$7-(1-EXP(-((($B48+1)/E$45)^E$44)))*$F$7</f>
        <v>652.7615157101784</v>
      </c>
      <c r="F49" s="25">
        <f t="shared" si="1"/>
        <v>371.5293473575652</v>
      </c>
      <c r="G49" s="25">
        <f t="shared" si="8"/>
        <v>281.2321683526132</v>
      </c>
      <c r="H49" s="8">
        <f t="shared" si="2"/>
        <v>1.8456397040711112</v>
      </c>
      <c r="I49" s="8">
        <f t="shared" si="3"/>
        <v>1.0504744814263836</v>
      </c>
      <c r="J49" s="8">
        <f t="shared" si="4"/>
        <v>8.7272004214862893</v>
      </c>
      <c r="K49" s="8">
        <f t="shared" si="5"/>
        <v>4.9672215637986188</v>
      </c>
      <c r="L49" s="26">
        <f t="shared" si="9"/>
        <v>548.31967319654984</v>
      </c>
      <c r="M49" s="26">
        <f t="shared" si="10"/>
        <v>342.11181763031931</v>
      </c>
      <c r="N49" s="27">
        <f t="shared" si="11"/>
        <v>0</v>
      </c>
      <c r="O49" s="27">
        <f t="shared" si="12"/>
        <v>206.20785556623053</v>
      </c>
      <c r="P49" s="27">
        <f t="shared" si="13"/>
        <v>29.417529727245881</v>
      </c>
      <c r="Q49" s="27">
        <f t="shared" ref="Q49:Q78" si="18">Q48-P48</f>
        <v>32.686144141384311</v>
      </c>
      <c r="R49" s="26">
        <f t="shared" si="14"/>
        <v>371.5293473575652</v>
      </c>
      <c r="S49" s="5"/>
      <c r="U49" s="1">
        <v>6</v>
      </c>
      <c r="V49" s="25">
        <f t="shared" si="15"/>
        <v>652.7615157101784</v>
      </c>
      <c r="W49" s="25">
        <f t="shared" si="6"/>
        <v>475.97118987119376</v>
      </c>
      <c r="X49" s="28">
        <f t="shared" si="16"/>
        <v>176.79032583898464</v>
      </c>
    </row>
    <row r="50" spans="2:24" x14ac:dyDescent="0.25">
      <c r="B50" s="1">
        <v>8</v>
      </c>
      <c r="C50" s="8">
        <f t="shared" si="7"/>
        <v>9</v>
      </c>
      <c r="D50" s="24">
        <f t="shared" si="0"/>
        <v>2.6832445580601546E-2</v>
      </c>
      <c r="E50" s="25">
        <f t="shared" si="17"/>
        <v>848.55103782829644</v>
      </c>
      <c r="F50" s="25">
        <f t="shared" si="1"/>
        <v>217.07129926608872</v>
      </c>
      <c r="G50" s="25">
        <f t="shared" si="8"/>
        <v>631.47973856220779</v>
      </c>
      <c r="H50" s="8">
        <f t="shared" si="2"/>
        <v>4.2652827306197931</v>
      </c>
      <c r="I50" s="8">
        <f t="shared" si="3"/>
        <v>1.0911193585272574</v>
      </c>
      <c r="J50" s="8">
        <f t="shared" si="4"/>
        <v>22.76869954489073</v>
      </c>
      <c r="K50" s="8">
        <f t="shared" si="5"/>
        <v>5.8245538246677979</v>
      </c>
      <c r="L50" s="26">
        <f t="shared" si="9"/>
        <v>712.78287177576897</v>
      </c>
      <c r="M50" s="26">
        <f t="shared" si="10"/>
        <v>214.12954629336411</v>
      </c>
      <c r="N50" s="27">
        <f t="shared" si="11"/>
        <v>0</v>
      </c>
      <c r="O50" s="27">
        <f t="shared" si="12"/>
        <v>498.65332548240485</v>
      </c>
      <c r="P50" s="27">
        <f t="shared" si="13"/>
        <v>2.9417529727245868</v>
      </c>
      <c r="Q50" s="27">
        <f>Q49-P49</f>
        <v>3.2686144141384297</v>
      </c>
      <c r="R50" s="26">
        <f t="shared" si="14"/>
        <v>217.07129926608872</v>
      </c>
      <c r="S50" s="5"/>
      <c r="U50" s="1">
        <v>8</v>
      </c>
      <c r="V50" s="25">
        <f t="shared" si="15"/>
        <v>848.55103782829644</v>
      </c>
      <c r="W50" s="25">
        <f t="shared" si="6"/>
        <v>352.83946531861613</v>
      </c>
      <c r="X50" s="28">
        <f t="shared" si="16"/>
        <v>495.71157250968031</v>
      </c>
    </row>
    <row r="51" spans="2:24" x14ac:dyDescent="0.25">
      <c r="B51" s="1">
        <v>10</v>
      </c>
      <c r="C51" s="8">
        <f t="shared" si="7"/>
        <v>10.136642120445037</v>
      </c>
      <c r="D51" s="24">
        <f t="shared" si="0"/>
        <v>4.5255498682238167E-2</v>
      </c>
      <c r="E51" s="25">
        <f t="shared" si="17"/>
        <v>539.30465295752401</v>
      </c>
      <c r="F51" s="25">
        <f t="shared" si="1"/>
        <v>49.55301501555212</v>
      </c>
      <c r="G51" s="25">
        <f t="shared" si="8"/>
        <v>489.75163794197192</v>
      </c>
      <c r="H51" s="8">
        <f t="shared" si="2"/>
        <v>4.235688839445376</v>
      </c>
      <c r="I51" s="8">
        <f t="shared" si="3"/>
        <v>0.38918846984020816</v>
      </c>
      <c r="J51" s="8">
        <f t="shared" si="4"/>
        <v>24.406501011244139</v>
      </c>
      <c r="K51" s="8">
        <f t="shared" si="5"/>
        <v>2.2425464057372468</v>
      </c>
      <c r="L51" s="26">
        <f t="shared" si="9"/>
        <v>453.01590848432016</v>
      </c>
      <c r="M51" s="26">
        <f t="shared" si="10"/>
        <v>49.25883971827966</v>
      </c>
      <c r="N51" s="27">
        <f t="shared" si="11"/>
        <v>0</v>
      </c>
      <c r="O51" s="27">
        <f t="shared" si="12"/>
        <v>403.7570687660405</v>
      </c>
      <c r="P51" s="27">
        <f t="shared" si="13"/>
        <v>0.29417529727245861</v>
      </c>
      <c r="Q51" s="27">
        <f t="shared" si="18"/>
        <v>0.32686144141384288</v>
      </c>
      <c r="R51" s="26">
        <f t="shared" si="14"/>
        <v>49.55301501555212</v>
      </c>
      <c r="S51" s="5"/>
      <c r="U51" s="1">
        <v>10</v>
      </c>
      <c r="V51" s="25">
        <f t="shared" si="15"/>
        <v>539.30465295752401</v>
      </c>
      <c r="W51" s="25">
        <f t="shared" si="6"/>
        <v>135.84175948875597</v>
      </c>
      <c r="X51" s="28">
        <f t="shared" si="16"/>
        <v>403.46289346876802</v>
      </c>
    </row>
    <row r="52" spans="2:24" x14ac:dyDescent="0.25">
      <c r="B52" s="1">
        <v>12</v>
      </c>
      <c r="C52" s="8">
        <f t="shared" si="7"/>
        <v>10.986159754568224</v>
      </c>
      <c r="D52" s="24">
        <f t="shared" si="0"/>
        <v>6.8688527944049546E-2</v>
      </c>
      <c r="E52" s="25">
        <f t="shared" si="17"/>
        <v>139.94820443905064</v>
      </c>
      <c r="F52" s="25">
        <f t="shared" si="1"/>
        <v>3.3504705269245303</v>
      </c>
      <c r="G52" s="25">
        <f t="shared" si="8"/>
        <v>136.5977339121261</v>
      </c>
      <c r="H52" s="8">
        <f t="shared" si="2"/>
        <v>1.5827769034156942</v>
      </c>
      <c r="I52" s="8">
        <f t="shared" si="3"/>
        <v>3.7892928936438822E-2</v>
      </c>
      <c r="J52" s="8">
        <f t="shared" si="4"/>
        <v>9.6128361513312885</v>
      </c>
      <c r="K52" s="8">
        <f t="shared" si="5"/>
        <v>0.23013888841437</v>
      </c>
      <c r="L52" s="26">
        <f t="shared" si="9"/>
        <v>117.55649172880254</v>
      </c>
      <c r="M52" s="26">
        <f t="shared" si="10"/>
        <v>3.3210529971972846</v>
      </c>
      <c r="N52" s="27">
        <f t="shared" si="11"/>
        <v>0</v>
      </c>
      <c r="O52" s="27">
        <f t="shared" si="12"/>
        <v>114.23543873160526</v>
      </c>
      <c r="P52" s="27">
        <f t="shared" si="13"/>
        <v>2.9417529727245841E-2</v>
      </c>
      <c r="Q52" s="27">
        <f t="shared" si="18"/>
        <v>3.2686144141384266E-2</v>
      </c>
      <c r="R52" s="26">
        <f t="shared" si="14"/>
        <v>3.3504705269245303</v>
      </c>
      <c r="S52" s="5"/>
      <c r="U52" s="1">
        <v>12</v>
      </c>
      <c r="V52" s="25">
        <f t="shared" si="15"/>
        <v>139.94820443905064</v>
      </c>
      <c r="W52" s="25">
        <f t="shared" si="6"/>
        <v>25.742183237172632</v>
      </c>
      <c r="X52" s="28">
        <f t="shared" si="16"/>
        <v>114.206021201878</v>
      </c>
    </row>
    <row r="53" spans="2:24" x14ac:dyDescent="0.25">
      <c r="B53" s="1">
        <v>14</v>
      </c>
      <c r="C53" s="8">
        <f t="shared" si="7"/>
        <v>11.642515279641751</v>
      </c>
      <c r="D53" s="24">
        <f t="shared" si="0"/>
        <v>9.7156951956720625E-2</v>
      </c>
      <c r="E53" s="25">
        <f t="shared" si="17"/>
        <v>11.543958057436612</v>
      </c>
      <c r="F53" s="25">
        <f t="shared" si="1"/>
        <v>5.1887967851194199E-2</v>
      </c>
      <c r="G53" s="25">
        <f t="shared" si="8"/>
        <v>11.492070089585418</v>
      </c>
      <c r="H53" s="8">
        <f t="shared" si="2"/>
        <v>0.17770542775029863</v>
      </c>
      <c r="I53" s="8">
        <f t="shared" si="3"/>
        <v>7.9875320719397381E-4</v>
      </c>
      <c r="J53" s="8">
        <f t="shared" si="4"/>
        <v>1.1215757783767668</v>
      </c>
      <c r="K53" s="8">
        <f t="shared" si="5"/>
        <v>5.0412767996503389E-3</v>
      </c>
      <c r="L53" s="26">
        <f t="shared" si="9"/>
        <v>9.6969247682467543</v>
      </c>
      <c r="M53" s="26">
        <f t="shared" si="10"/>
        <v>4.8946214878469618E-2</v>
      </c>
      <c r="N53" s="27">
        <f t="shared" si="11"/>
        <v>0</v>
      </c>
      <c r="O53" s="27">
        <f t="shared" si="12"/>
        <v>9.6479785533682847</v>
      </c>
      <c r="P53" s="27">
        <f t="shared" si="13"/>
        <v>2.941752972724582E-3</v>
      </c>
      <c r="Q53" s="27">
        <f t="shared" si="18"/>
        <v>3.2686144141384245E-3</v>
      </c>
      <c r="R53" s="26">
        <f t="shared" si="14"/>
        <v>5.1887967851194199E-2</v>
      </c>
      <c r="S53" s="5"/>
      <c r="U53" s="1">
        <v>14</v>
      </c>
      <c r="V53" s="25">
        <f t="shared" si="15"/>
        <v>11.543958057436612</v>
      </c>
      <c r="W53" s="25">
        <f t="shared" si="6"/>
        <v>1.8989212570410521</v>
      </c>
      <c r="X53" s="28">
        <f t="shared" si="16"/>
        <v>9.6450368003955589</v>
      </c>
    </row>
    <row r="54" spans="2:24" x14ac:dyDescent="0.25">
      <c r="B54" s="1">
        <v>16</v>
      </c>
      <c r="C54" s="8">
        <f t="shared" si="7"/>
        <v>12.163807932080221</v>
      </c>
      <c r="D54" s="24">
        <f t="shared" si="0"/>
        <v>0.13067483630255297</v>
      </c>
      <c r="E54" s="25">
        <f t="shared" si="17"/>
        <v>0.21910949577295469</v>
      </c>
      <c r="F54" s="25">
        <f t="shared" si="1"/>
        <v>4.050037229767706E-4</v>
      </c>
      <c r="G54" s="25">
        <f t="shared" si="8"/>
        <v>0.21870449204997791</v>
      </c>
      <c r="H54" s="8">
        <f t="shared" si="2"/>
        <v>4.4054578064133014E-3</v>
      </c>
      <c r="I54" s="8">
        <f t="shared" si="3"/>
        <v>8.1430830129941649E-6</v>
      </c>
      <c r="J54" s="8">
        <f t="shared" si="4"/>
        <v>2.8632097492465775E-2</v>
      </c>
      <c r="K54" s="8">
        <f t="shared" si="5"/>
        <v>5.2923795201914009E-5</v>
      </c>
      <c r="L54" s="26">
        <f t="shared" si="9"/>
        <v>0.18405197644928192</v>
      </c>
      <c r="M54" s="26">
        <f t="shared" si="10"/>
        <v>1.1082842570431239E-4</v>
      </c>
      <c r="N54" s="27">
        <f t="shared" si="11"/>
        <v>0</v>
      </c>
      <c r="O54" s="27">
        <f t="shared" si="12"/>
        <v>0.18394114802357761</v>
      </c>
      <c r="P54" s="27">
        <f t="shared" si="13"/>
        <v>2.941752972724582E-4</v>
      </c>
      <c r="Q54" s="27">
        <f t="shared" si="18"/>
        <v>3.2686144141384245E-4</v>
      </c>
      <c r="R54" s="26">
        <f t="shared" si="14"/>
        <v>4.050037229767706E-4</v>
      </c>
      <c r="S54" s="5"/>
      <c r="U54" s="1">
        <v>16</v>
      </c>
      <c r="V54" s="25">
        <f t="shared" si="15"/>
        <v>0.21910949577295469</v>
      </c>
      <c r="W54" s="25">
        <f t="shared" si="6"/>
        <v>3.546252304664952E-2</v>
      </c>
      <c r="X54" s="28">
        <f t="shared" si="16"/>
        <v>0.18364697272630517</v>
      </c>
    </row>
    <row r="55" spans="2:24" x14ac:dyDescent="0.25">
      <c r="B55" s="1">
        <v>18</v>
      </c>
      <c r="C55" s="8">
        <f t="shared" si="7"/>
        <v>12.587356168127618</v>
      </c>
      <c r="D55" s="24">
        <f t="shared" si="0"/>
        <v>0.16925053761853748</v>
      </c>
      <c r="E55" s="25">
        <f t="shared" si="17"/>
        <v>6.378237731041736E-4</v>
      </c>
      <c r="F55" s="25">
        <f t="shared" si="1"/>
        <v>2.9443488411336988E-5</v>
      </c>
      <c r="G55" s="25">
        <f t="shared" si="8"/>
        <v>6.0838028469283663E-4</v>
      </c>
      <c r="H55" s="8">
        <f t="shared" si="2"/>
        <v>1.6230638086938859E-5</v>
      </c>
      <c r="I55" s="8">
        <f t="shared" si="3"/>
        <v>7.4924551980181104E-7</v>
      </c>
      <c r="J55" s="8">
        <f t="shared" si="4"/>
        <v>1.0795201650376545E-4</v>
      </c>
      <c r="K55" s="8">
        <f t="shared" si="5"/>
        <v>4.9833262429839629E-6</v>
      </c>
      <c r="L55" s="26">
        <f t="shared" si="9"/>
        <v>5.3577196940750576E-4</v>
      </c>
      <c r="M55" s="26">
        <f t="shared" si="10"/>
        <v>2.5958684091165196E-8</v>
      </c>
      <c r="N55" s="27">
        <f t="shared" si="11"/>
        <v>0</v>
      </c>
      <c r="O55" s="27">
        <f t="shared" si="12"/>
        <v>5.3574601072341459E-4</v>
      </c>
      <c r="P55" s="27">
        <f t="shared" si="13"/>
        <v>2.9417529727245822E-5</v>
      </c>
      <c r="Q55" s="27">
        <f t="shared" si="18"/>
        <v>3.2686144141384245E-5</v>
      </c>
      <c r="R55" s="26">
        <f t="shared" si="14"/>
        <v>2.9443488411336988E-5</v>
      </c>
      <c r="S55" s="5"/>
      <c r="U55" s="1">
        <v>18</v>
      </c>
      <c r="V55" s="25">
        <f t="shared" si="15"/>
        <v>6.378237731041736E-4</v>
      </c>
      <c r="W55" s="25">
        <f t="shared" si="6"/>
        <v>1.3149529210800475E-4</v>
      </c>
      <c r="X55" s="28">
        <f t="shared" si="16"/>
        <v>5.0632848099616879E-4</v>
      </c>
    </row>
    <row r="56" spans="2:24" x14ac:dyDescent="0.25">
      <c r="B56" s="1">
        <v>20</v>
      </c>
      <c r="C56" s="8">
        <f t="shared" si="7"/>
        <v>12.938053507284614</v>
      </c>
      <c r="D56" s="24">
        <f t="shared" si="0"/>
        <v>0.2128893176776524</v>
      </c>
      <c r="E56" s="25">
        <f t="shared" si="17"/>
        <v>1.7583170119905844E-7</v>
      </c>
      <c r="F56" s="25">
        <f t="shared" si="1"/>
        <v>1.4769862900720908E-7</v>
      </c>
      <c r="G56" s="25">
        <f t="shared" si="8"/>
        <v>2.8133072191849364E-8</v>
      </c>
      <c r="H56" s="8">
        <f t="shared" si="2"/>
        <v>5.5239158075515758E-9</v>
      </c>
      <c r="I56" s="8">
        <f t="shared" si="3"/>
        <v>4.6400892783433239E-9</v>
      </c>
      <c r="J56" s="8">
        <f t="shared" si="4"/>
        <v>3.7432690894368406E-8</v>
      </c>
      <c r="K56" s="8">
        <f t="shared" si="5"/>
        <v>3.144346035126946E-8</v>
      </c>
      <c r="L56" s="26">
        <f t="shared" si="9"/>
        <v>1.4769862900720908E-7</v>
      </c>
      <c r="M56" s="26">
        <f t="shared" si="10"/>
        <v>0</v>
      </c>
      <c r="N56" s="27">
        <f t="shared" si="11"/>
        <v>0</v>
      </c>
      <c r="O56" s="27">
        <f t="shared" si="12"/>
        <v>1.4769862900720908E-7</v>
      </c>
      <c r="P56" s="27">
        <f t="shared" si="13"/>
        <v>1.4769862900720908E-7</v>
      </c>
      <c r="Q56" s="27">
        <f t="shared" si="18"/>
        <v>3.2686144141384225E-6</v>
      </c>
      <c r="R56" s="26">
        <f t="shared" si="14"/>
        <v>1.4769862900720908E-7</v>
      </c>
      <c r="S56" s="5"/>
      <c r="U56" s="1">
        <v>20</v>
      </c>
      <c r="V56" s="25">
        <f t="shared" si="15"/>
        <v>1.7583170119905844E-7</v>
      </c>
      <c r="W56" s="25">
        <f t="shared" si="6"/>
        <v>1.7583170119905844E-7</v>
      </c>
      <c r="X56" s="28">
        <f t="shared" si="16"/>
        <v>0</v>
      </c>
    </row>
    <row r="57" spans="2:24" x14ac:dyDescent="0.25">
      <c r="B57" s="1">
        <v>22</v>
      </c>
      <c r="C57" s="8">
        <f t="shared" si="7"/>
        <v>13.233077138625491</v>
      </c>
      <c r="D57" s="24">
        <f t="shared" si="0"/>
        <v>0.26159464962513218</v>
      </c>
      <c r="E57" s="25">
        <f t="shared" si="17"/>
        <v>0</v>
      </c>
      <c r="F57" s="25">
        <f t="shared" si="1"/>
        <v>0</v>
      </c>
      <c r="G57" s="25">
        <f t="shared" si="8"/>
        <v>0</v>
      </c>
      <c r="H57" s="8">
        <f t="shared" si="2"/>
        <v>0</v>
      </c>
      <c r="I57" s="8">
        <f t="shared" si="3"/>
        <v>0</v>
      </c>
      <c r="J57" s="8">
        <f t="shared" si="4"/>
        <v>0</v>
      </c>
      <c r="K57" s="8">
        <f t="shared" si="5"/>
        <v>0</v>
      </c>
      <c r="L57" s="26">
        <f t="shared" si="9"/>
        <v>0</v>
      </c>
      <c r="M57" s="26">
        <f t="shared" si="10"/>
        <v>0</v>
      </c>
      <c r="N57" s="27">
        <f t="shared" si="11"/>
        <v>0</v>
      </c>
      <c r="O57" s="27">
        <f t="shared" si="12"/>
        <v>0</v>
      </c>
      <c r="P57" s="27">
        <f t="shared" si="13"/>
        <v>0</v>
      </c>
      <c r="Q57" s="27">
        <f t="shared" si="18"/>
        <v>3.1209157851312135E-6</v>
      </c>
      <c r="R57" s="26">
        <f t="shared" si="14"/>
        <v>0</v>
      </c>
      <c r="S57" s="5"/>
      <c r="U57" s="1">
        <v>22</v>
      </c>
      <c r="V57" s="25">
        <f t="shared" si="15"/>
        <v>0</v>
      </c>
      <c r="W57" s="25">
        <f t="shared" si="6"/>
        <v>0</v>
      </c>
      <c r="X57" s="28">
        <f t="shared" si="16"/>
        <v>0</v>
      </c>
    </row>
    <row r="58" spans="2:24" x14ac:dyDescent="0.25">
      <c r="B58" s="1">
        <v>24</v>
      </c>
      <c r="C58" s="8">
        <f t="shared" si="7"/>
        <v>13.484635167664566</v>
      </c>
      <c r="D58" s="24">
        <f t="shared" si="0"/>
        <v>0.3153689165459117</v>
      </c>
      <c r="E58" s="25">
        <f t="shared" si="17"/>
        <v>0</v>
      </c>
      <c r="F58" s="25">
        <f t="shared" si="1"/>
        <v>0</v>
      </c>
      <c r="G58" s="25">
        <f t="shared" si="8"/>
        <v>0</v>
      </c>
      <c r="H58" s="8">
        <f t="shared" si="2"/>
        <v>0</v>
      </c>
      <c r="I58" s="8">
        <f t="shared" si="3"/>
        <v>0</v>
      </c>
      <c r="J58" s="8">
        <f t="shared" si="4"/>
        <v>0</v>
      </c>
      <c r="K58" s="8">
        <f t="shared" si="5"/>
        <v>0</v>
      </c>
      <c r="L58" s="26">
        <f t="shared" si="9"/>
        <v>0</v>
      </c>
      <c r="M58" s="26">
        <f t="shared" si="10"/>
        <v>0</v>
      </c>
      <c r="N58" s="27">
        <f t="shared" si="11"/>
        <v>0</v>
      </c>
      <c r="O58" s="27">
        <f t="shared" si="12"/>
        <v>0</v>
      </c>
      <c r="P58" s="27">
        <f t="shared" si="13"/>
        <v>0</v>
      </c>
      <c r="Q58" s="27">
        <f t="shared" si="18"/>
        <v>3.1209157851312135E-6</v>
      </c>
      <c r="R58" s="26">
        <f t="shared" si="14"/>
        <v>0</v>
      </c>
      <c r="S58" s="5"/>
      <c r="U58" s="1">
        <v>24</v>
      </c>
      <c r="V58" s="25">
        <f t="shared" si="15"/>
        <v>0</v>
      </c>
      <c r="W58" s="25">
        <f t="shared" si="6"/>
        <v>0</v>
      </c>
      <c r="X58" s="28">
        <f t="shared" si="16"/>
        <v>0</v>
      </c>
    </row>
    <row r="59" spans="2:24" x14ac:dyDescent="0.25">
      <c r="B59" s="1">
        <v>26</v>
      </c>
      <c r="C59" s="8">
        <f t="shared" si="7"/>
        <v>13.701629520697759</v>
      </c>
      <c r="D59" s="24">
        <f t="shared" si="0"/>
        <v>0.37421380719718439</v>
      </c>
      <c r="E59" s="25">
        <f t="shared" si="17"/>
        <v>0</v>
      </c>
      <c r="F59" s="25">
        <f t="shared" si="1"/>
        <v>0</v>
      </c>
      <c r="G59" s="25">
        <f t="shared" si="8"/>
        <v>0</v>
      </c>
      <c r="H59" s="8">
        <f t="shared" si="2"/>
        <v>0</v>
      </c>
      <c r="I59" s="8">
        <f t="shared" si="3"/>
        <v>0</v>
      </c>
      <c r="J59" s="8">
        <f t="shared" si="4"/>
        <v>0</v>
      </c>
      <c r="K59" s="8">
        <f t="shared" si="5"/>
        <v>0</v>
      </c>
      <c r="L59" s="26">
        <f t="shared" si="9"/>
        <v>0</v>
      </c>
      <c r="M59" s="26">
        <f t="shared" si="10"/>
        <v>0</v>
      </c>
      <c r="N59" s="27">
        <f t="shared" si="11"/>
        <v>0</v>
      </c>
      <c r="O59" s="27">
        <f t="shared" si="12"/>
        <v>0</v>
      </c>
      <c r="P59" s="27">
        <f t="shared" si="13"/>
        <v>0</v>
      </c>
      <c r="Q59" s="27">
        <f t="shared" si="18"/>
        <v>3.1209157851312135E-6</v>
      </c>
      <c r="R59" s="26">
        <f t="shared" si="14"/>
        <v>0</v>
      </c>
      <c r="S59" s="5"/>
      <c r="U59" s="1">
        <v>26</v>
      </c>
      <c r="V59" s="25">
        <f t="shared" si="15"/>
        <v>0</v>
      </c>
      <c r="W59" s="25">
        <f t="shared" si="6"/>
        <v>0</v>
      </c>
      <c r="X59" s="28">
        <f t="shared" si="16"/>
        <v>0</v>
      </c>
    </row>
    <row r="60" spans="2:24" x14ac:dyDescent="0.25">
      <c r="B60" s="1">
        <v>28</v>
      </c>
      <c r="C60" s="8">
        <f t="shared" si="7"/>
        <v>13.890697848190019</v>
      </c>
      <c r="D60" s="24">
        <f t="shared" si="0"/>
        <v>0.43813055134291906</v>
      </c>
      <c r="E60" s="25">
        <f t="shared" si="17"/>
        <v>0</v>
      </c>
      <c r="F60" s="25">
        <f t="shared" si="1"/>
        <v>0</v>
      </c>
      <c r="G60" s="25">
        <f t="shared" si="8"/>
        <v>0</v>
      </c>
      <c r="H60" s="8">
        <f t="shared" si="2"/>
        <v>0</v>
      </c>
      <c r="I60" s="8">
        <f t="shared" si="3"/>
        <v>0</v>
      </c>
      <c r="J60" s="8">
        <f t="shared" si="4"/>
        <v>0</v>
      </c>
      <c r="K60" s="8">
        <f t="shared" si="5"/>
        <v>0</v>
      </c>
      <c r="L60" s="26">
        <f t="shared" si="9"/>
        <v>0</v>
      </c>
      <c r="M60" s="26">
        <f t="shared" si="10"/>
        <v>0</v>
      </c>
      <c r="N60" s="27">
        <f t="shared" si="11"/>
        <v>0</v>
      </c>
      <c r="O60" s="27">
        <f t="shared" si="12"/>
        <v>0</v>
      </c>
      <c r="P60" s="27">
        <f t="shared" si="13"/>
        <v>0</v>
      </c>
      <c r="Q60" s="27">
        <f t="shared" si="18"/>
        <v>3.1209157851312135E-6</v>
      </c>
      <c r="R60" s="26">
        <f t="shared" si="14"/>
        <v>0</v>
      </c>
      <c r="S60" s="5"/>
      <c r="U60" s="1">
        <v>28</v>
      </c>
      <c r="V60" s="25">
        <f t="shared" si="15"/>
        <v>0</v>
      </c>
      <c r="W60" s="25">
        <f t="shared" si="6"/>
        <v>0</v>
      </c>
      <c r="X60" s="28">
        <f t="shared" si="16"/>
        <v>0</v>
      </c>
    </row>
    <row r="61" spans="2:24" x14ac:dyDescent="0.25">
      <c r="B61" s="1">
        <v>30</v>
      </c>
      <c r="C61" s="8">
        <f t="shared" si="7"/>
        <v>14.056887058145854</v>
      </c>
      <c r="D61" s="24">
        <f t="shared" si="0"/>
        <v>0.50712006559013956</v>
      </c>
      <c r="E61" s="25">
        <f t="shared" si="17"/>
        <v>0</v>
      </c>
      <c r="F61" s="25">
        <f t="shared" si="1"/>
        <v>0</v>
      </c>
      <c r="G61" s="25">
        <f t="shared" si="8"/>
        <v>0</v>
      </c>
      <c r="H61" s="8">
        <f t="shared" si="2"/>
        <v>0</v>
      </c>
      <c r="I61" s="8">
        <f t="shared" si="3"/>
        <v>0</v>
      </c>
      <c r="J61" s="8">
        <f t="shared" si="4"/>
        <v>0</v>
      </c>
      <c r="K61" s="8">
        <f t="shared" si="5"/>
        <v>0</v>
      </c>
      <c r="L61" s="26">
        <f t="shared" si="9"/>
        <v>0</v>
      </c>
      <c r="M61" s="26">
        <f t="shared" si="10"/>
        <v>0</v>
      </c>
      <c r="N61" s="27">
        <f t="shared" si="11"/>
        <v>0</v>
      </c>
      <c r="O61" s="27">
        <f t="shared" si="12"/>
        <v>0</v>
      </c>
      <c r="P61" s="27">
        <f t="shared" si="13"/>
        <v>0</v>
      </c>
      <c r="Q61" s="27">
        <f t="shared" si="18"/>
        <v>3.1209157851312135E-6</v>
      </c>
      <c r="R61" s="26">
        <f t="shared" si="14"/>
        <v>0</v>
      </c>
      <c r="S61" s="5"/>
      <c r="U61" s="1">
        <v>30</v>
      </c>
      <c r="V61" s="25">
        <f t="shared" si="15"/>
        <v>0</v>
      </c>
      <c r="W61" s="25">
        <f t="shared" si="6"/>
        <v>0</v>
      </c>
      <c r="X61" s="28">
        <f t="shared" si="16"/>
        <v>0</v>
      </c>
    </row>
    <row r="62" spans="2:24" x14ac:dyDescent="0.25">
      <c r="B62" s="1">
        <v>32</v>
      </c>
      <c r="C62" s="8">
        <f t="shared" si="7"/>
        <v>14.204101061771718</v>
      </c>
      <c r="D62" s="24">
        <f t="shared" si="0"/>
        <v>0.58118304700921097</v>
      </c>
      <c r="E62" s="25">
        <f t="shared" si="17"/>
        <v>0</v>
      </c>
      <c r="F62" s="25">
        <f t="shared" si="1"/>
        <v>0</v>
      </c>
      <c r="G62" s="25">
        <f t="shared" si="8"/>
        <v>0</v>
      </c>
      <c r="H62" s="8">
        <f t="shared" si="2"/>
        <v>0</v>
      </c>
      <c r="I62" s="8">
        <f t="shared" si="3"/>
        <v>0</v>
      </c>
      <c r="J62" s="8">
        <f t="shared" si="4"/>
        <v>0</v>
      </c>
      <c r="K62" s="8">
        <f t="shared" si="5"/>
        <v>0</v>
      </c>
      <c r="L62" s="26">
        <f t="shared" si="9"/>
        <v>0</v>
      </c>
      <c r="M62" s="26">
        <f t="shared" si="10"/>
        <v>0</v>
      </c>
      <c r="N62" s="27">
        <f t="shared" si="11"/>
        <v>0</v>
      </c>
      <c r="O62" s="27">
        <f t="shared" si="12"/>
        <v>0</v>
      </c>
      <c r="P62" s="27">
        <f t="shared" si="13"/>
        <v>0</v>
      </c>
      <c r="Q62" s="27">
        <f t="shared" si="18"/>
        <v>3.1209157851312135E-6</v>
      </c>
      <c r="R62" s="26">
        <f t="shared" si="14"/>
        <v>0</v>
      </c>
      <c r="S62" s="5"/>
      <c r="U62" s="1">
        <v>32</v>
      </c>
      <c r="V62" s="25">
        <f t="shared" si="15"/>
        <v>0</v>
      </c>
      <c r="W62" s="25">
        <f t="shared" si="6"/>
        <v>0</v>
      </c>
      <c r="X62" s="28">
        <f t="shared" si="16"/>
        <v>0</v>
      </c>
    </row>
    <row r="63" spans="2:24" x14ac:dyDescent="0.25">
      <c r="B63" s="1">
        <v>34</v>
      </c>
      <c r="C63" s="8">
        <f t="shared" si="7"/>
        <v>14.335405939270471</v>
      </c>
      <c r="D63" s="24">
        <f t="shared" si="0"/>
        <v>0.66032003509528692</v>
      </c>
      <c r="E63" s="25">
        <f t="shared" si="17"/>
        <v>0</v>
      </c>
      <c r="F63" s="25">
        <f t="shared" si="1"/>
        <v>0</v>
      </c>
      <c r="G63" s="25">
        <f t="shared" si="8"/>
        <v>0</v>
      </c>
      <c r="H63" s="8">
        <f t="shared" si="2"/>
        <v>0</v>
      </c>
      <c r="I63" s="8">
        <f t="shared" si="3"/>
        <v>0</v>
      </c>
      <c r="J63" s="8">
        <f t="shared" si="4"/>
        <v>0</v>
      </c>
      <c r="K63" s="8">
        <f t="shared" si="5"/>
        <v>0</v>
      </c>
      <c r="L63" s="26">
        <f t="shared" si="9"/>
        <v>0</v>
      </c>
      <c r="M63" s="26">
        <f t="shared" si="10"/>
        <v>0</v>
      </c>
      <c r="N63" s="27">
        <f t="shared" si="11"/>
        <v>0</v>
      </c>
      <c r="O63" s="27">
        <f t="shared" si="12"/>
        <v>0</v>
      </c>
      <c r="P63" s="27">
        <f t="shared" si="13"/>
        <v>0</v>
      </c>
      <c r="Q63" s="27">
        <f t="shared" si="18"/>
        <v>3.1209157851312135E-6</v>
      </c>
      <c r="R63" s="26">
        <f t="shared" si="14"/>
        <v>0</v>
      </c>
      <c r="S63" s="5"/>
      <c r="U63" s="1">
        <v>34</v>
      </c>
      <c r="V63" s="25">
        <f t="shared" si="15"/>
        <v>0</v>
      </c>
      <c r="W63" s="25">
        <f t="shared" si="6"/>
        <v>0</v>
      </c>
      <c r="X63" s="28">
        <f t="shared" si="16"/>
        <v>0</v>
      </c>
    </row>
    <row r="64" spans="2:24" x14ac:dyDescent="0.25">
      <c r="B64" s="1">
        <v>36</v>
      </c>
      <c r="C64" s="8">
        <f t="shared" si="7"/>
        <v>14.453242615690046</v>
      </c>
      <c r="D64" s="24">
        <f t="shared" si="0"/>
        <v>0.74453145388244091</v>
      </c>
      <c r="E64" s="25">
        <f t="shared" si="17"/>
        <v>0</v>
      </c>
      <c r="F64" s="25">
        <f t="shared" si="1"/>
        <v>0</v>
      </c>
      <c r="G64" s="25">
        <f t="shared" si="8"/>
        <v>0</v>
      </c>
      <c r="H64" s="8">
        <f t="shared" si="2"/>
        <v>0</v>
      </c>
      <c r="I64" s="8">
        <f t="shared" si="3"/>
        <v>0</v>
      </c>
      <c r="J64" s="8">
        <f t="shared" si="4"/>
        <v>0</v>
      </c>
      <c r="K64" s="8">
        <f t="shared" si="5"/>
        <v>0</v>
      </c>
      <c r="L64" s="26">
        <f t="shared" si="9"/>
        <v>0</v>
      </c>
      <c r="M64" s="26">
        <f t="shared" si="10"/>
        <v>0</v>
      </c>
      <c r="N64" s="27">
        <f t="shared" si="11"/>
        <v>0</v>
      </c>
      <c r="O64" s="27">
        <f t="shared" si="12"/>
        <v>0</v>
      </c>
      <c r="P64" s="27">
        <f t="shared" si="13"/>
        <v>0</v>
      </c>
      <c r="Q64" s="27">
        <f t="shared" si="18"/>
        <v>3.1209157851312135E-6</v>
      </c>
      <c r="R64" s="26">
        <f t="shared" si="14"/>
        <v>0</v>
      </c>
      <c r="S64" s="5"/>
      <c r="U64" s="1">
        <v>36</v>
      </c>
      <c r="V64" s="25">
        <f t="shared" si="15"/>
        <v>0</v>
      </c>
      <c r="W64" s="25">
        <f t="shared" si="6"/>
        <v>0</v>
      </c>
      <c r="X64" s="28">
        <f t="shared" si="16"/>
        <v>0</v>
      </c>
    </row>
    <row r="65" spans="2:24" x14ac:dyDescent="0.25">
      <c r="B65" s="1">
        <v>38</v>
      </c>
      <c r="C65" s="8">
        <f t="shared" si="7"/>
        <v>14.559578068583475</v>
      </c>
      <c r="D65" s="24">
        <f t="shared" si="0"/>
        <v>0.83381764124557012</v>
      </c>
      <c r="E65" s="25">
        <f t="shared" si="17"/>
        <v>0</v>
      </c>
      <c r="F65" s="25">
        <f t="shared" si="1"/>
        <v>0</v>
      </c>
      <c r="G65" s="25">
        <f t="shared" si="8"/>
        <v>0</v>
      </c>
      <c r="H65" s="8">
        <f t="shared" si="2"/>
        <v>0</v>
      </c>
      <c r="I65" s="8">
        <f t="shared" si="3"/>
        <v>0</v>
      </c>
      <c r="J65" s="8">
        <f t="shared" si="4"/>
        <v>0</v>
      </c>
      <c r="K65" s="8">
        <f t="shared" si="5"/>
        <v>0</v>
      </c>
      <c r="L65" s="26">
        <f t="shared" si="9"/>
        <v>0</v>
      </c>
      <c r="M65" s="26">
        <f t="shared" si="10"/>
        <v>0</v>
      </c>
      <c r="N65" s="27">
        <f t="shared" si="11"/>
        <v>0</v>
      </c>
      <c r="O65" s="27">
        <f t="shared" si="12"/>
        <v>0</v>
      </c>
      <c r="P65" s="27">
        <f t="shared" si="13"/>
        <v>0</v>
      </c>
      <c r="Q65" s="27">
        <f t="shared" si="18"/>
        <v>3.1209157851312135E-6</v>
      </c>
      <c r="R65" s="26">
        <f t="shared" si="14"/>
        <v>0</v>
      </c>
      <c r="S65" s="5"/>
      <c r="U65" s="1">
        <v>38</v>
      </c>
      <c r="V65" s="25">
        <f t="shared" si="15"/>
        <v>0</v>
      </c>
      <c r="W65" s="25">
        <f t="shared" si="6"/>
        <v>0</v>
      </c>
      <c r="X65" s="28">
        <f t="shared" si="16"/>
        <v>0</v>
      </c>
    </row>
    <row r="66" spans="2:24" x14ac:dyDescent="0.25">
      <c r="B66" s="1">
        <v>40</v>
      </c>
      <c r="C66" s="8">
        <f t="shared" si="7"/>
        <v>14.656014782138223</v>
      </c>
      <c r="D66" s="24">
        <f t="shared" si="0"/>
        <v>0.92817886971496733</v>
      </c>
      <c r="E66" s="25">
        <f t="shared" si="17"/>
        <v>0</v>
      </c>
      <c r="F66" s="25">
        <f t="shared" si="1"/>
        <v>0</v>
      </c>
      <c r="G66" s="25">
        <f t="shared" si="8"/>
        <v>0</v>
      </c>
      <c r="H66" s="8">
        <f t="shared" si="2"/>
        <v>0</v>
      </c>
      <c r="I66" s="8">
        <f t="shared" si="3"/>
        <v>0</v>
      </c>
      <c r="J66" s="8">
        <f t="shared" si="4"/>
        <v>0</v>
      </c>
      <c r="K66" s="8">
        <f t="shared" si="5"/>
        <v>0</v>
      </c>
      <c r="L66" s="26">
        <f t="shared" si="9"/>
        <v>0</v>
      </c>
      <c r="M66" s="26">
        <f t="shared" si="10"/>
        <v>0</v>
      </c>
      <c r="N66" s="27">
        <f t="shared" si="11"/>
        <v>0</v>
      </c>
      <c r="O66" s="27">
        <f t="shared" si="12"/>
        <v>0</v>
      </c>
      <c r="P66" s="27">
        <f t="shared" si="13"/>
        <v>0</v>
      </c>
      <c r="Q66" s="27">
        <f t="shared" si="18"/>
        <v>3.1209157851312135E-6</v>
      </c>
      <c r="R66" s="26">
        <f t="shared" si="14"/>
        <v>0</v>
      </c>
      <c r="S66" s="5"/>
      <c r="U66" s="1">
        <v>40</v>
      </c>
      <c r="V66" s="25">
        <f t="shared" si="15"/>
        <v>0</v>
      </c>
      <c r="W66" s="25">
        <f t="shared" si="6"/>
        <v>0</v>
      </c>
      <c r="X66" s="28">
        <f t="shared" si="16"/>
        <v>0</v>
      </c>
    </row>
    <row r="67" spans="2:24" x14ac:dyDescent="0.25">
      <c r="B67" s="1">
        <v>42</v>
      </c>
      <c r="C67" s="8">
        <f t="shared" si="7"/>
        <v>14.743871273632788</v>
      </c>
      <c r="D67" s="24">
        <f t="shared" si="0"/>
        <v>1.0276153615378949</v>
      </c>
      <c r="E67" s="25">
        <f t="shared" si="17"/>
        <v>0</v>
      </c>
      <c r="F67" s="25">
        <f t="shared" si="1"/>
        <v>0</v>
      </c>
      <c r="G67" s="25">
        <f t="shared" si="8"/>
        <v>0</v>
      </c>
      <c r="H67" s="8">
        <f t="shared" si="2"/>
        <v>0</v>
      </c>
      <c r="I67" s="8">
        <f t="shared" si="3"/>
        <v>0</v>
      </c>
      <c r="J67" s="8">
        <f t="shared" si="4"/>
        <v>0</v>
      </c>
      <c r="K67" s="8">
        <f t="shared" si="5"/>
        <v>0</v>
      </c>
      <c r="L67" s="26">
        <f t="shared" si="9"/>
        <v>0</v>
      </c>
      <c r="M67" s="26">
        <f t="shared" si="10"/>
        <v>0</v>
      </c>
      <c r="N67" s="27">
        <f t="shared" si="11"/>
        <v>0</v>
      </c>
      <c r="O67" s="27">
        <f t="shared" si="12"/>
        <v>0</v>
      </c>
      <c r="P67" s="27">
        <f t="shared" si="13"/>
        <v>0</v>
      </c>
      <c r="Q67" s="27">
        <f t="shared" si="18"/>
        <v>3.1209157851312135E-6</v>
      </c>
      <c r="R67" s="26">
        <f t="shared" si="14"/>
        <v>0</v>
      </c>
      <c r="S67" s="5"/>
      <c r="U67" s="1">
        <v>42</v>
      </c>
      <c r="V67" s="25">
        <f t="shared" si="15"/>
        <v>0</v>
      </c>
      <c r="W67" s="25">
        <f t="shared" si="6"/>
        <v>0</v>
      </c>
      <c r="X67" s="28">
        <f t="shared" si="16"/>
        <v>0</v>
      </c>
    </row>
    <row r="68" spans="2:24" x14ac:dyDescent="0.25">
      <c r="B68" s="1">
        <v>44</v>
      </c>
      <c r="C68" s="8">
        <f t="shared" si="7"/>
        <v>14.824242215968892</v>
      </c>
      <c r="D68" s="24">
        <f t="shared" si="0"/>
        <v>1.1321272997596274</v>
      </c>
      <c r="E68" s="25">
        <f t="shared" si="17"/>
        <v>0</v>
      </c>
      <c r="F68" s="25">
        <f t="shared" si="1"/>
        <v>0</v>
      </c>
      <c r="G68" s="25">
        <f t="shared" si="8"/>
        <v>0</v>
      </c>
      <c r="H68" s="8">
        <f t="shared" si="2"/>
        <v>0</v>
      </c>
      <c r="I68" s="8">
        <f t="shared" si="3"/>
        <v>0</v>
      </c>
      <c r="J68" s="8">
        <f t="shared" si="4"/>
        <v>0</v>
      </c>
      <c r="K68" s="8">
        <f t="shared" si="5"/>
        <v>0</v>
      </c>
      <c r="L68" s="26">
        <f t="shared" si="9"/>
        <v>0</v>
      </c>
      <c r="M68" s="26">
        <f t="shared" si="10"/>
        <v>0</v>
      </c>
      <c r="N68" s="27">
        <f t="shared" si="11"/>
        <v>0</v>
      </c>
      <c r="O68" s="27">
        <f t="shared" si="12"/>
        <v>0</v>
      </c>
      <c r="P68" s="27">
        <f t="shared" si="13"/>
        <v>0</v>
      </c>
      <c r="Q68" s="27">
        <f t="shared" si="18"/>
        <v>3.1209157851312135E-6</v>
      </c>
      <c r="R68" s="26">
        <f t="shared" si="14"/>
        <v>0</v>
      </c>
      <c r="S68" s="5"/>
      <c r="U68" s="1">
        <v>44</v>
      </c>
      <c r="V68" s="25">
        <f t="shared" si="15"/>
        <v>0</v>
      </c>
      <c r="W68" s="25">
        <f t="shared" si="6"/>
        <v>0</v>
      </c>
      <c r="X68" s="28">
        <f t="shared" si="16"/>
        <v>0</v>
      </c>
    </row>
    <row r="69" spans="2:24" x14ac:dyDescent="0.25">
      <c r="B69" s="1">
        <v>46</v>
      </c>
      <c r="C69" s="8">
        <f t="shared" si="7"/>
        <v>14.898043931882492</v>
      </c>
      <c r="D69" s="24">
        <f t="shared" si="0"/>
        <v>1.2417148364989665</v>
      </c>
      <c r="E69" s="25">
        <f t="shared" si="17"/>
        <v>0</v>
      </c>
      <c r="F69" s="25">
        <f t="shared" si="1"/>
        <v>0</v>
      </c>
      <c r="G69" s="25">
        <f t="shared" si="8"/>
        <v>0</v>
      </c>
      <c r="H69" s="8">
        <f t="shared" si="2"/>
        <v>0</v>
      </c>
      <c r="I69" s="8">
        <f t="shared" si="3"/>
        <v>0</v>
      </c>
      <c r="J69" s="8">
        <f t="shared" si="4"/>
        <v>0</v>
      </c>
      <c r="K69" s="8">
        <f t="shared" si="5"/>
        <v>0</v>
      </c>
      <c r="L69" s="26">
        <f t="shared" si="9"/>
        <v>0</v>
      </c>
      <c r="M69" s="26">
        <f t="shared" si="10"/>
        <v>0</v>
      </c>
      <c r="N69" s="27">
        <f t="shared" si="11"/>
        <v>0</v>
      </c>
      <c r="O69" s="27">
        <f t="shared" si="12"/>
        <v>0</v>
      </c>
      <c r="P69" s="27">
        <f t="shared" si="13"/>
        <v>0</v>
      </c>
      <c r="Q69" s="27">
        <f t="shared" si="18"/>
        <v>3.1209157851312135E-6</v>
      </c>
      <c r="R69" s="26">
        <f t="shared" si="14"/>
        <v>0</v>
      </c>
      <c r="S69" s="5"/>
      <c r="U69" s="1">
        <v>46</v>
      </c>
      <c r="V69" s="25">
        <f t="shared" si="15"/>
        <v>0</v>
      </c>
      <c r="W69" s="25">
        <f t="shared" si="6"/>
        <v>0</v>
      </c>
      <c r="X69" s="28">
        <f t="shared" si="16"/>
        <v>0</v>
      </c>
    </row>
    <row r="70" spans="2:24" x14ac:dyDescent="0.25">
      <c r="B70" s="1">
        <v>48</v>
      </c>
      <c r="C70" s="8">
        <f t="shared" si="7"/>
        <v>14.966049243256426</v>
      </c>
      <c r="D70" s="24">
        <f t="shared" si="0"/>
        <v>1.3563780992130501</v>
      </c>
      <c r="E70" s="25">
        <f t="shared" si="17"/>
        <v>0</v>
      </c>
      <c r="F70" s="25">
        <f t="shared" si="1"/>
        <v>0</v>
      </c>
      <c r="G70" s="25">
        <f t="shared" si="8"/>
        <v>0</v>
      </c>
      <c r="H70" s="8">
        <f t="shared" si="2"/>
        <v>0</v>
      </c>
      <c r="I70" s="8">
        <f t="shared" si="3"/>
        <v>0</v>
      </c>
      <c r="J70" s="8">
        <f t="shared" si="4"/>
        <v>0</v>
      </c>
      <c r="K70" s="8">
        <f t="shared" si="5"/>
        <v>0</v>
      </c>
      <c r="L70" s="26">
        <f t="shared" si="9"/>
        <v>0</v>
      </c>
      <c r="M70" s="26">
        <f t="shared" si="10"/>
        <v>0</v>
      </c>
      <c r="N70" s="27">
        <f t="shared" si="11"/>
        <v>0</v>
      </c>
      <c r="O70" s="27">
        <f t="shared" si="12"/>
        <v>0</v>
      </c>
      <c r="P70" s="27">
        <f t="shared" si="13"/>
        <v>0</v>
      </c>
      <c r="Q70" s="27">
        <f t="shared" si="18"/>
        <v>3.1209157851312135E-6</v>
      </c>
      <c r="R70" s="26">
        <f t="shared" si="14"/>
        <v>0</v>
      </c>
      <c r="S70" s="5"/>
      <c r="U70" s="1">
        <v>48</v>
      </c>
      <c r="V70" s="25">
        <f t="shared" si="15"/>
        <v>0</v>
      </c>
      <c r="W70" s="25">
        <f t="shared" si="6"/>
        <v>0</v>
      </c>
      <c r="X70" s="28">
        <f t="shared" si="16"/>
        <v>0</v>
      </c>
    </row>
    <row r="71" spans="2:24" x14ac:dyDescent="0.25">
      <c r="B71" s="1">
        <v>50</v>
      </c>
      <c r="C71" s="8">
        <f t="shared" si="7"/>
        <v>15.028914467829949</v>
      </c>
      <c r="D71" s="24">
        <f t="shared" si="0"/>
        <v>1.4761171954990344</v>
      </c>
      <c r="E71" s="25">
        <f t="shared" si="17"/>
        <v>0</v>
      </c>
      <c r="F71" s="25">
        <f t="shared" si="1"/>
        <v>0</v>
      </c>
      <c r="G71" s="25">
        <f t="shared" si="8"/>
        <v>0</v>
      </c>
      <c r="H71" s="8">
        <f t="shared" si="2"/>
        <v>0</v>
      </c>
      <c r="I71" s="8">
        <f t="shared" si="3"/>
        <v>0</v>
      </c>
      <c r="J71" s="8">
        <f t="shared" si="4"/>
        <v>0</v>
      </c>
      <c r="K71" s="8">
        <f t="shared" si="5"/>
        <v>0</v>
      </c>
      <c r="L71" s="26">
        <f t="shared" si="9"/>
        <v>0</v>
      </c>
      <c r="M71" s="26">
        <f t="shared" si="10"/>
        <v>0</v>
      </c>
      <c r="N71" s="27">
        <f t="shared" si="11"/>
        <v>0</v>
      </c>
      <c r="O71" s="27">
        <f t="shared" si="12"/>
        <v>0</v>
      </c>
      <c r="P71" s="27">
        <f t="shared" si="13"/>
        <v>0</v>
      </c>
      <c r="Q71" s="27">
        <f t="shared" si="18"/>
        <v>3.1209157851312135E-6</v>
      </c>
      <c r="R71" s="26">
        <f t="shared" si="14"/>
        <v>0</v>
      </c>
      <c r="S71" s="5"/>
      <c r="U71" s="1">
        <v>50</v>
      </c>
      <c r="V71" s="25">
        <f t="shared" si="15"/>
        <v>0</v>
      </c>
      <c r="W71" s="25">
        <f t="shared" si="6"/>
        <v>0</v>
      </c>
      <c r="X71" s="28">
        <f t="shared" si="16"/>
        <v>0</v>
      </c>
    </row>
    <row r="72" spans="2:24" x14ac:dyDescent="0.25">
      <c r="B72" s="1">
        <v>52</v>
      </c>
      <c r="C72" s="8">
        <f t="shared" si="7"/>
        <v>15.087200550036695</v>
      </c>
      <c r="D72" s="24">
        <f t="shared" si="0"/>
        <v>1.6009322168162672</v>
      </c>
      <c r="E72" s="25">
        <f t="shared" si="17"/>
        <v>0</v>
      </c>
      <c r="F72" s="25">
        <f t="shared" si="1"/>
        <v>0</v>
      </c>
      <c r="G72" s="25">
        <f t="shared" si="8"/>
        <v>0</v>
      </c>
      <c r="H72" s="8">
        <f t="shared" si="2"/>
        <v>0</v>
      </c>
      <c r="I72" s="8">
        <f t="shared" si="3"/>
        <v>0</v>
      </c>
      <c r="J72" s="8">
        <f t="shared" si="4"/>
        <v>0</v>
      </c>
      <c r="K72" s="8">
        <f t="shared" si="5"/>
        <v>0</v>
      </c>
      <c r="L72" s="26">
        <f t="shared" si="9"/>
        <v>0</v>
      </c>
      <c r="M72" s="26">
        <f t="shared" si="10"/>
        <v>0</v>
      </c>
      <c r="N72" s="27">
        <f t="shared" si="11"/>
        <v>0</v>
      </c>
      <c r="O72" s="27">
        <f t="shared" si="12"/>
        <v>0</v>
      </c>
      <c r="P72" s="27">
        <f t="shared" si="13"/>
        <v>0</v>
      </c>
      <c r="Q72" s="27">
        <f t="shared" si="18"/>
        <v>3.1209157851312135E-6</v>
      </c>
      <c r="R72" s="26">
        <f t="shared" si="14"/>
        <v>0</v>
      </c>
      <c r="S72" s="5"/>
      <c r="U72" s="1">
        <v>52</v>
      </c>
      <c r="V72" s="25">
        <f t="shared" si="15"/>
        <v>0</v>
      </c>
      <c r="W72" s="25">
        <f t="shared" si="6"/>
        <v>0</v>
      </c>
      <c r="X72" s="28">
        <f t="shared" si="16"/>
        <v>0</v>
      </c>
    </row>
    <row r="73" spans="2:24" x14ac:dyDescent="0.25">
      <c r="B73" s="1">
        <v>54</v>
      </c>
      <c r="C73" s="8">
        <f t="shared" si="7"/>
        <v>15.141389759085344</v>
      </c>
      <c r="D73" s="24">
        <f t="shared" si="0"/>
        <v>1.7308232414017648</v>
      </c>
      <c r="E73" s="25">
        <f t="shared" si="17"/>
        <v>0</v>
      </c>
      <c r="F73" s="25">
        <f t="shared" si="1"/>
        <v>0</v>
      </c>
      <c r="G73" s="25">
        <f t="shared" si="8"/>
        <v>0</v>
      </c>
      <c r="H73" s="8">
        <f t="shared" si="2"/>
        <v>0</v>
      </c>
      <c r="I73" s="8">
        <f t="shared" si="3"/>
        <v>0</v>
      </c>
      <c r="J73" s="8">
        <f t="shared" si="4"/>
        <v>0</v>
      </c>
      <c r="K73" s="8">
        <f t="shared" si="5"/>
        <v>0</v>
      </c>
      <c r="L73" s="26">
        <f t="shared" si="9"/>
        <v>0</v>
      </c>
      <c r="M73" s="26">
        <f t="shared" si="10"/>
        <v>0</v>
      </c>
      <c r="N73" s="27">
        <f t="shared" si="11"/>
        <v>0</v>
      </c>
      <c r="O73" s="27">
        <f t="shared" si="12"/>
        <v>0</v>
      </c>
      <c r="P73" s="27">
        <f t="shared" si="13"/>
        <v>0</v>
      </c>
      <c r="Q73" s="27">
        <f t="shared" si="18"/>
        <v>3.1209157851312135E-6</v>
      </c>
      <c r="R73" s="26">
        <f t="shared" si="14"/>
        <v>0</v>
      </c>
      <c r="S73" s="5"/>
      <c r="U73" s="1">
        <v>54</v>
      </c>
      <c r="V73" s="25">
        <f t="shared" si="15"/>
        <v>0</v>
      </c>
      <c r="W73" s="25">
        <f t="shared" si="6"/>
        <v>0</v>
      </c>
      <c r="X73" s="28">
        <f t="shared" si="16"/>
        <v>0</v>
      </c>
    </row>
    <row r="74" spans="2:24" x14ac:dyDescent="0.25">
      <c r="B74" s="1">
        <v>56</v>
      </c>
      <c r="C74" s="8">
        <f t="shared" si="7"/>
        <v>15.19189900124975</v>
      </c>
      <c r="D74" s="24">
        <f t="shared" si="0"/>
        <v>1.8657903365758297</v>
      </c>
      <c r="E74" s="25">
        <f t="shared" si="17"/>
        <v>0</v>
      </c>
      <c r="F74" s="25">
        <f t="shared" si="1"/>
        <v>0</v>
      </c>
      <c r="G74" s="25">
        <f t="shared" si="8"/>
        <v>0</v>
      </c>
      <c r="H74" s="8">
        <f t="shared" si="2"/>
        <v>0</v>
      </c>
      <c r="I74" s="8">
        <f t="shared" si="3"/>
        <v>0</v>
      </c>
      <c r="J74" s="8">
        <f t="shared" si="4"/>
        <v>0</v>
      </c>
      <c r="K74" s="8">
        <f t="shared" si="5"/>
        <v>0</v>
      </c>
      <c r="L74" s="26">
        <f t="shared" si="9"/>
        <v>0</v>
      </c>
      <c r="M74" s="26">
        <f t="shared" si="10"/>
        <v>0</v>
      </c>
      <c r="N74" s="27">
        <f t="shared" si="11"/>
        <v>0</v>
      </c>
      <c r="O74" s="27">
        <f t="shared" si="12"/>
        <v>0</v>
      </c>
      <c r="P74" s="27">
        <f t="shared" si="13"/>
        <v>0</v>
      </c>
      <c r="Q74" s="27">
        <f t="shared" si="18"/>
        <v>3.1209157851312135E-6</v>
      </c>
      <c r="R74" s="26">
        <f t="shared" si="14"/>
        <v>0</v>
      </c>
      <c r="S74" s="5"/>
      <c r="U74" s="1">
        <v>56</v>
      </c>
      <c r="V74" s="25">
        <f t="shared" si="15"/>
        <v>0</v>
      </c>
      <c r="W74" s="25">
        <f t="shared" si="6"/>
        <v>0</v>
      </c>
      <c r="X74" s="28">
        <f t="shared" si="16"/>
        <v>0</v>
      </c>
    </row>
    <row r="75" spans="2:24" x14ac:dyDescent="0.25">
      <c r="B75" s="1">
        <v>58</v>
      </c>
      <c r="C75" s="8">
        <f t="shared" si="7"/>
        <v>15.239090520277573</v>
      </c>
      <c r="D75" s="24">
        <f t="shared" si="0"/>
        <v>2.0058335605815758</v>
      </c>
      <c r="E75" s="25">
        <f t="shared" si="17"/>
        <v>0</v>
      </c>
      <c r="F75" s="25">
        <f t="shared" si="1"/>
        <v>0</v>
      </c>
      <c r="G75" s="25">
        <f t="shared" si="8"/>
        <v>0</v>
      </c>
      <c r="H75" s="8">
        <f t="shared" si="2"/>
        <v>0</v>
      </c>
      <c r="I75" s="8">
        <f t="shared" si="3"/>
        <v>0</v>
      </c>
      <c r="J75" s="8">
        <f t="shared" si="4"/>
        <v>0</v>
      </c>
      <c r="K75" s="8">
        <f t="shared" si="5"/>
        <v>0</v>
      </c>
      <c r="L75" s="26">
        <f t="shared" si="9"/>
        <v>0</v>
      </c>
      <c r="M75" s="26">
        <f t="shared" si="10"/>
        <v>0</v>
      </c>
      <c r="N75" s="27">
        <f t="shared" si="11"/>
        <v>0</v>
      </c>
      <c r="O75" s="27">
        <f t="shared" si="12"/>
        <v>0</v>
      </c>
      <c r="P75" s="27">
        <f t="shared" si="13"/>
        <v>0</v>
      </c>
      <c r="Q75" s="27">
        <f t="shared" si="18"/>
        <v>3.1209157851312135E-6</v>
      </c>
      <c r="R75" s="26">
        <f t="shared" si="14"/>
        <v>0</v>
      </c>
      <c r="S75" s="5"/>
      <c r="U75" s="1">
        <v>58</v>
      </c>
      <c r="V75" s="25">
        <f t="shared" si="15"/>
        <v>0</v>
      </c>
      <c r="W75" s="25">
        <f t="shared" si="6"/>
        <v>0</v>
      </c>
      <c r="X75" s="28">
        <f t="shared" si="16"/>
        <v>0</v>
      </c>
    </row>
    <row r="76" spans="2:24" x14ac:dyDescent="0.25">
      <c r="B76" s="1">
        <v>60</v>
      </c>
      <c r="C76" s="8">
        <f t="shared" si="7"/>
        <v>15.283280564265008</v>
      </c>
      <c r="D76" s="24">
        <f t="shared" si="0"/>
        <v>2.1509529640646821</v>
      </c>
      <c r="E76" s="25">
        <f t="shared" si="17"/>
        <v>0</v>
      </c>
      <c r="F76" s="25">
        <f t="shared" si="1"/>
        <v>0</v>
      </c>
      <c r="G76" s="25">
        <f t="shared" si="8"/>
        <v>0</v>
      </c>
      <c r="H76" s="8">
        <f t="shared" si="2"/>
        <v>0</v>
      </c>
      <c r="I76" s="8">
        <f t="shared" si="3"/>
        <v>0</v>
      </c>
      <c r="J76" s="8">
        <f t="shared" si="4"/>
        <v>0</v>
      </c>
      <c r="K76" s="8">
        <f t="shared" si="5"/>
        <v>0</v>
      </c>
      <c r="L76" s="26">
        <f t="shared" si="9"/>
        <v>0</v>
      </c>
      <c r="M76" s="26">
        <f t="shared" si="10"/>
        <v>0</v>
      </c>
      <c r="N76" s="27">
        <f t="shared" si="11"/>
        <v>0</v>
      </c>
      <c r="O76" s="27">
        <f t="shared" si="12"/>
        <v>0</v>
      </c>
      <c r="P76" s="27">
        <f t="shared" si="13"/>
        <v>0</v>
      </c>
      <c r="Q76" s="27">
        <f t="shared" si="18"/>
        <v>3.1209157851312135E-6</v>
      </c>
      <c r="R76" s="26">
        <f t="shared" si="14"/>
        <v>0</v>
      </c>
      <c r="S76" s="5"/>
      <c r="U76" s="1">
        <v>60</v>
      </c>
      <c r="V76" s="25">
        <f t="shared" si="15"/>
        <v>0</v>
      </c>
      <c r="W76" s="25">
        <f t="shared" si="6"/>
        <v>0</v>
      </c>
      <c r="X76" s="28">
        <f t="shared" si="16"/>
        <v>0</v>
      </c>
    </row>
    <row r="77" spans="2:24" x14ac:dyDescent="0.25">
      <c r="B77" s="1">
        <v>62</v>
      </c>
      <c r="C77" s="8">
        <f t="shared" si="7"/>
        <v>15.324746455616999</v>
      </c>
      <c r="D77" s="24">
        <f t="shared" si="0"/>
        <v>2.3011485912728724</v>
      </c>
      <c r="E77" s="25">
        <f t="shared" si="17"/>
        <v>0</v>
      </c>
      <c r="F77" s="25">
        <f t="shared" si="1"/>
        <v>0</v>
      </c>
      <c r="G77" s="25">
        <f t="shared" si="8"/>
        <v>0</v>
      </c>
      <c r="H77" s="8">
        <f t="shared" si="2"/>
        <v>0</v>
      </c>
      <c r="I77" s="8">
        <f t="shared" si="3"/>
        <v>0</v>
      </c>
      <c r="J77" s="8">
        <f t="shared" si="4"/>
        <v>0</v>
      </c>
      <c r="K77" s="8">
        <f t="shared" si="5"/>
        <v>0</v>
      </c>
      <c r="L77" s="26">
        <f t="shared" si="9"/>
        <v>0</v>
      </c>
      <c r="M77" s="26">
        <f t="shared" si="10"/>
        <v>0</v>
      </c>
      <c r="N77" s="27">
        <f t="shared" si="11"/>
        <v>0</v>
      </c>
      <c r="O77" s="27">
        <f t="shared" si="12"/>
        <v>0</v>
      </c>
      <c r="P77" s="27">
        <f t="shared" si="13"/>
        <v>0</v>
      </c>
      <c r="Q77" s="27">
        <f t="shared" si="18"/>
        <v>3.1209157851312135E-6</v>
      </c>
      <c r="R77" s="26">
        <f t="shared" si="14"/>
        <v>0</v>
      </c>
      <c r="S77" s="5"/>
      <c r="U77" s="1">
        <v>62</v>
      </c>
      <c r="V77" s="25">
        <f t="shared" si="15"/>
        <v>0</v>
      </c>
      <c r="W77" s="25">
        <f t="shared" si="6"/>
        <v>0</v>
      </c>
      <c r="X77" s="28">
        <f t="shared" si="16"/>
        <v>0</v>
      </c>
    </row>
    <row r="78" spans="2:24" x14ac:dyDescent="0.25">
      <c r="B78" s="1">
        <v>64</v>
      </c>
      <c r="C78" s="8">
        <f t="shared" si="7"/>
        <v>15.363732396858062</v>
      </c>
      <c r="D78" s="24">
        <f t="shared" si="0"/>
        <v>2.4564204810351336</v>
      </c>
      <c r="E78" s="25">
        <f t="shared" si="17"/>
        <v>0</v>
      </c>
      <c r="F78" s="25">
        <f t="shared" si="1"/>
        <v>0</v>
      </c>
      <c r="G78" s="25">
        <f t="shared" si="8"/>
        <v>0</v>
      </c>
      <c r="H78" s="8">
        <f t="shared" si="2"/>
        <v>0</v>
      </c>
      <c r="I78" s="8">
        <f t="shared" si="3"/>
        <v>0</v>
      </c>
      <c r="J78" s="8">
        <f t="shared" si="4"/>
        <v>0</v>
      </c>
      <c r="K78" s="8">
        <f t="shared" si="5"/>
        <v>0</v>
      </c>
      <c r="L78" s="26">
        <f t="shared" si="9"/>
        <v>0</v>
      </c>
      <c r="M78" s="26">
        <f t="shared" si="10"/>
        <v>0</v>
      </c>
      <c r="N78" s="27">
        <f t="shared" si="11"/>
        <v>0</v>
      </c>
      <c r="O78" s="27">
        <f t="shared" si="12"/>
        <v>0</v>
      </c>
      <c r="P78" s="27">
        <f t="shared" si="13"/>
        <v>0</v>
      </c>
      <c r="Q78" s="27">
        <f t="shared" si="18"/>
        <v>3.1209157851312135E-6</v>
      </c>
      <c r="R78" s="26">
        <f t="shared" si="14"/>
        <v>0</v>
      </c>
      <c r="S78" s="5"/>
      <c r="U78" s="1">
        <v>64</v>
      </c>
      <c r="V78" s="25">
        <f t="shared" si="15"/>
        <v>0</v>
      </c>
      <c r="W78" s="25">
        <f t="shared" si="6"/>
        <v>0</v>
      </c>
      <c r="X78" s="28">
        <f t="shared" si="16"/>
        <v>0</v>
      </c>
    </row>
    <row r="79" spans="2:24" x14ac:dyDescent="0.25">
      <c r="D79" s="29" t="s">
        <v>74</v>
      </c>
      <c r="E79" s="30">
        <f t="shared" ref="E79" si="19">SUM(E47:E78)</f>
        <v>2499.9999999999973</v>
      </c>
      <c r="F79" s="30">
        <f t="shared" ref="F79:I79" si="20">SUM(F47:F78)</f>
        <v>899.99999687908371</v>
      </c>
      <c r="G79" s="30">
        <f t="shared" si="20"/>
        <v>1600.0000031209138</v>
      </c>
      <c r="H79" s="31">
        <f t="shared" si="20"/>
        <v>12.455924985375308</v>
      </c>
      <c r="I79" s="31">
        <f t="shared" si="20"/>
        <v>2.8587870252339833</v>
      </c>
      <c r="J79" s="31">
        <f>SUM(J47:J78)</f>
        <v>67.961525495631122</v>
      </c>
      <c r="K79" s="31">
        <f>SUM(K47:K78)</f>
        <v>14.358176799125204</v>
      </c>
      <c r="L79" s="30">
        <f>SUM(L47:L78)</f>
        <v>2099.9999999999977</v>
      </c>
      <c r="M79" s="30">
        <f t="shared" ref="M79:N79" si="21">SUM(M47:M78)</f>
        <v>899.99999999999955</v>
      </c>
      <c r="N79" s="30">
        <f t="shared" si="21"/>
        <v>32.686144141384311</v>
      </c>
      <c r="O79" s="30"/>
      <c r="P79" s="27"/>
      <c r="Q79" s="30"/>
      <c r="R79" s="30">
        <f t="shared" ref="R79" si="22">SUM(R47:R78)</f>
        <v>899.99999687908371</v>
      </c>
      <c r="S79" s="5"/>
      <c r="V79" s="30">
        <f t="shared" ref="V79:X79" si="23">SUM(V47:V78)</f>
        <v>2499.9999999999973</v>
      </c>
      <c r="W79" s="30">
        <f t="shared" si="23"/>
        <v>1299.9999968790835</v>
      </c>
      <c r="X79" s="30">
        <f t="shared" si="23"/>
        <v>1200.0000031209138</v>
      </c>
    </row>
  </sheetData>
  <sheetProtection password="D806" sheet="1" objects="1" scenarios="1" selectLockedCells="1"/>
  <mergeCells count="13">
    <mergeCell ref="E35:E37"/>
    <mergeCell ref="H35:H37"/>
    <mergeCell ref="I2:J2"/>
    <mergeCell ref="F23:K23"/>
    <mergeCell ref="F24:K24"/>
    <mergeCell ref="F25:K25"/>
    <mergeCell ref="F26:K26"/>
    <mergeCell ref="F27:K27"/>
    <mergeCell ref="N9:U9"/>
    <mergeCell ref="F28:K28"/>
    <mergeCell ref="F29:K29"/>
    <mergeCell ref="E32:E34"/>
    <mergeCell ref="H32:H34"/>
  </mergeCells>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
  <sheetViews>
    <sheetView workbookViewId="0">
      <selection activeCell="H19" sqref="H19"/>
    </sheetView>
  </sheetViews>
  <sheetFormatPr defaultRowHeight="15" x14ac:dyDescent="0.25"/>
  <cols>
    <col min="3" max="3" width="12.140625" bestFit="1" customWidth="1"/>
  </cols>
  <sheetData>
    <row r="2" spans="2:17" x14ac:dyDescent="0.25">
      <c r="B2" s="2"/>
    </row>
    <row r="3" spans="2:17" ht="60" customHeight="1" x14ac:dyDescent="0.25">
      <c r="B3" s="2"/>
      <c r="F3" s="87" t="s">
        <v>95</v>
      </c>
      <c r="G3" s="87"/>
      <c r="H3" s="87"/>
      <c r="I3" s="87"/>
      <c r="J3" s="87"/>
      <c r="K3" s="87"/>
      <c r="L3" s="87"/>
      <c r="M3" s="87"/>
      <c r="N3" s="87"/>
      <c r="O3" s="87"/>
      <c r="P3" s="87"/>
      <c r="Q3" s="87"/>
    </row>
    <row r="4" spans="2:17" x14ac:dyDescent="0.25">
      <c r="B4" s="2"/>
    </row>
    <row r="5" spans="2:17" x14ac:dyDescent="0.25">
      <c r="B5" s="2"/>
    </row>
    <row r="6" spans="2:17" x14ac:dyDescent="0.25">
      <c r="C6" s="2" t="s">
        <v>80</v>
      </c>
      <c r="D6" s="2"/>
    </row>
    <row r="7" spans="2:17" x14ac:dyDescent="0.25">
      <c r="C7" s="2"/>
      <c r="D7" s="32" t="s">
        <v>78</v>
      </c>
      <c r="H7" s="33" t="s">
        <v>85</v>
      </c>
    </row>
    <row r="8" spans="2:17" x14ac:dyDescent="0.25">
      <c r="C8" s="2"/>
      <c r="D8" s="32" t="s">
        <v>79</v>
      </c>
    </row>
    <row r="9" spans="2:17" x14ac:dyDescent="0.25">
      <c r="C9" s="2"/>
      <c r="D9" s="32" t="s">
        <v>77</v>
      </c>
    </row>
    <row r="10" spans="2:17" x14ac:dyDescent="0.25">
      <c r="D10" s="32" t="s">
        <v>81</v>
      </c>
    </row>
    <row r="11" spans="2:17" x14ac:dyDescent="0.25">
      <c r="D11" s="32" t="s">
        <v>83</v>
      </c>
    </row>
    <row r="12" spans="2:17" x14ac:dyDescent="0.25">
      <c r="D12" s="32" t="s">
        <v>84</v>
      </c>
    </row>
    <row r="13" spans="2:17" x14ac:dyDescent="0.25">
      <c r="D13" s="32" t="s">
        <v>97</v>
      </c>
    </row>
    <row r="14" spans="2:17" x14ac:dyDescent="0.25">
      <c r="D14" s="32" t="s">
        <v>96</v>
      </c>
    </row>
    <row r="15" spans="2:17" x14ac:dyDescent="0.25">
      <c r="D15" s="32" t="s">
        <v>92</v>
      </c>
    </row>
    <row r="16" spans="2:17" x14ac:dyDescent="0.25">
      <c r="D16" s="32" t="s">
        <v>88</v>
      </c>
    </row>
    <row r="17" spans="4:4" x14ac:dyDescent="0.25">
      <c r="D17" s="32" t="s">
        <v>86</v>
      </c>
    </row>
  </sheetData>
  <sheetProtection password="D806" sheet="1" objects="1" scenarios="1" selectLockedCells="1"/>
  <mergeCells count="1">
    <mergeCell ref="F3:Q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MODELIS</vt:lpstr>
      <vt:lpstr>Paskaidrojumi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ERAF136</dc:title>
  <dc:creator>Kaspars Liepins</dc:creator>
  <cp:lastModifiedBy>Ilva Konstantinova</cp:lastModifiedBy>
  <dcterms:created xsi:type="dcterms:W3CDTF">2013-05-13T10:10:30Z</dcterms:created>
  <dcterms:modified xsi:type="dcterms:W3CDTF">2023-03-16T09:27:06Z</dcterms:modified>
</cp:coreProperties>
</file>